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Dshsfloly3001\caoly3cd\SHARE\Contracts Unit\David's Assignments\CW Rate Site\ILS\"/>
    </mc:Choice>
  </mc:AlternateContent>
  <xr:revisionPtr revIDLastSave="0" documentId="13_ncr:1_{73D31E4D-4BDB-4208-A390-5D52AB6FFF1E}" xr6:coauthVersionLast="47" xr6:coauthVersionMax="47" xr10:uidLastSave="{00000000-0000-0000-0000-000000000000}"/>
  <bookViews>
    <workbookView xWindow="-25320" yWindow="465" windowWidth="25440" windowHeight="15390" tabRatio="798" xr2:uid="{00000000-000D-0000-FFFF-FFFF00000000}"/>
  </bookViews>
  <sheets>
    <sheet name="Fee Table " sheetId="52" r:id="rId1"/>
    <sheet name="Rate Assumptions" sheetId="28" r:id="rId2"/>
    <sheet name="Rate Calculations" sheetId="45" r:id="rId3"/>
    <sheet name="Service Assumption" sheetId="49" r:id="rId4"/>
    <sheet name="Regionalized costs" sheetId="36" r:id="rId5"/>
  </sheets>
  <externalReferences>
    <externalReference r:id="rId6"/>
  </externalReferences>
  <definedNames>
    <definedName name="AdminRate">#REF!</definedName>
    <definedName name="ClinicalHrs">#REF!</definedName>
    <definedName name="CompMonthly">#REF!</definedName>
    <definedName name="DayDirectHrs">#REF!</definedName>
    <definedName name="DirectCareHrs">#REF!</definedName>
    <definedName name="EmpAds">#REF!</definedName>
    <definedName name="MedHrs">#REF!</definedName>
    <definedName name="Office">#REF!</definedName>
    <definedName name="OvernightStaffHrs">#REF!</definedName>
    <definedName name="PrintedMat">#REF!</definedName>
    <definedName name="profyr">#REF!</definedName>
    <definedName name="SqfeetpriceCOLI">#REF!</definedName>
    <definedName name="Vehicle">#REF!</definedName>
    <definedName name="Youth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6" i="52" l="1"/>
  <c r="L27" i="52"/>
  <c r="K25" i="52"/>
  <c r="K24" i="52"/>
  <c r="D59" i="36"/>
  <c r="D57" i="36"/>
  <c r="D55" i="36"/>
  <c r="C16" i="36" s="1"/>
  <c r="D21" i="52"/>
  <c r="D36" i="52"/>
  <c r="D35" i="52"/>
  <c r="D29" i="52"/>
  <c r="D24" i="52"/>
  <c r="C8" i="45"/>
  <c r="C54" i="28"/>
  <c r="F9" i="52" l="1"/>
  <c r="F10" i="52"/>
  <c r="F11" i="52"/>
  <c r="F12" i="52"/>
  <c r="F13" i="52"/>
  <c r="F14" i="52"/>
  <c r="F8" i="52"/>
  <c r="I8" i="36" l="1"/>
  <c r="D16" i="52" l="1"/>
  <c r="C5" i="45"/>
  <c r="D67" i="36" l="1"/>
  <c r="D65" i="36"/>
  <c r="D63" i="36"/>
  <c r="D61" i="36"/>
  <c r="D16" i="36" l="1"/>
  <c r="C16" i="28"/>
  <c r="D26" i="45" l="1"/>
  <c r="D17" i="36"/>
  <c r="D18" i="36" s="1"/>
  <c r="F16" i="36"/>
  <c r="I16" i="36"/>
  <c r="C26" i="45"/>
  <c r="H16" i="36"/>
  <c r="G16" i="36"/>
  <c r="E16" i="36"/>
  <c r="G26" i="45" l="1"/>
  <c r="G17" i="36"/>
  <c r="G18" i="36" s="1"/>
  <c r="E26" i="45"/>
  <c r="E17" i="36"/>
  <c r="E18" i="36" s="1"/>
  <c r="H26" i="45"/>
  <c r="H17" i="36"/>
  <c r="H18" i="36" s="1"/>
  <c r="C17" i="36"/>
  <c r="C18" i="36" s="1"/>
  <c r="I26" i="45"/>
  <c r="I17" i="36"/>
  <c r="I18" i="36" s="1"/>
  <c r="F26" i="45"/>
  <c r="F17" i="36"/>
  <c r="F18" i="36" s="1"/>
  <c r="D19" i="36"/>
  <c r="D20" i="36"/>
  <c r="D30" i="45" s="1"/>
  <c r="C40" i="28"/>
  <c r="C20" i="45" s="1"/>
  <c r="F19" i="36" l="1"/>
  <c r="F20" i="36"/>
  <c r="F30" i="45" s="1"/>
  <c r="I19" i="36"/>
  <c r="I20" i="36"/>
  <c r="I30" i="45" s="1"/>
  <c r="H19" i="36"/>
  <c r="H20" i="36"/>
  <c r="H30" i="45" s="1"/>
  <c r="E19" i="36"/>
  <c r="E20" i="36"/>
  <c r="E30" i="45" s="1"/>
  <c r="C19" i="36"/>
  <c r="C20" i="36"/>
  <c r="C30" i="45" s="1"/>
  <c r="G20" i="36"/>
  <c r="G30" i="45" s="1"/>
  <c r="G19" i="36"/>
  <c r="D10" i="49"/>
  <c r="D23" i="49"/>
  <c r="D21" i="49"/>
  <c r="D24" i="49" l="1"/>
  <c r="C15" i="28"/>
  <c r="I5" i="36" l="1"/>
  <c r="I6" i="36" s="1"/>
  <c r="I7" i="36" s="1"/>
  <c r="C42" i="28"/>
  <c r="F27" i="45" l="1"/>
  <c r="D27" i="45"/>
  <c r="E27" i="45"/>
  <c r="C27" i="45"/>
  <c r="I27" i="45"/>
  <c r="H27" i="45"/>
  <c r="G27" i="45"/>
  <c r="C6" i="45"/>
  <c r="H28" i="45" l="1"/>
  <c r="G28" i="45"/>
  <c r="E28" i="45"/>
  <c r="I28" i="45"/>
  <c r="D28" i="45"/>
  <c r="F28" i="45"/>
  <c r="C28" i="45"/>
  <c r="C7" i="45"/>
  <c r="C9" i="45" l="1"/>
  <c r="F29" i="45"/>
  <c r="E29" i="45"/>
  <c r="D29" i="45"/>
  <c r="I29" i="45"/>
  <c r="H29" i="45"/>
  <c r="G29" i="45"/>
  <c r="C29" i="45"/>
  <c r="D15" i="28"/>
  <c r="D14" i="28"/>
  <c r="D13" i="28"/>
  <c r="C31" i="45" l="1"/>
  <c r="C22" i="45"/>
  <c r="F40" i="45"/>
  <c r="H40" i="45"/>
  <c r="E40" i="45"/>
  <c r="C40" i="45"/>
  <c r="I40" i="45"/>
  <c r="G40" i="45"/>
  <c r="D40" i="45"/>
  <c r="G36" i="45"/>
  <c r="C21" i="45"/>
  <c r="C16" i="45"/>
  <c r="C13" i="45"/>
  <c r="D34" i="45"/>
  <c r="G34" i="45"/>
  <c r="I34" i="45"/>
  <c r="C19" i="45"/>
  <c r="C18" i="45"/>
  <c r="E31" i="45"/>
  <c r="H31" i="45"/>
  <c r="F31" i="45"/>
  <c r="I31" i="45"/>
  <c r="I35" i="45" s="1"/>
  <c r="G31" i="45"/>
  <c r="D31" i="45"/>
  <c r="I36" i="45"/>
  <c r="E34" i="45"/>
  <c r="C34" i="45"/>
  <c r="D36" i="45"/>
  <c r="H34" i="45"/>
  <c r="C36" i="45"/>
  <c r="F34" i="45"/>
  <c r="C14" i="45"/>
  <c r="C17" i="45"/>
  <c r="H36" i="45"/>
  <c r="E36" i="45"/>
  <c r="C15" i="45"/>
  <c r="F36" i="45"/>
  <c r="I53" i="45" l="1"/>
  <c r="I41" i="45"/>
  <c r="I39" i="45"/>
  <c r="F35" i="45"/>
  <c r="F39" i="45" s="1"/>
  <c r="H35" i="45"/>
  <c r="H39" i="45" s="1"/>
  <c r="E35" i="45"/>
  <c r="E39" i="45" s="1"/>
  <c r="G35" i="45"/>
  <c r="G41" i="45" s="1"/>
  <c r="D35" i="45"/>
  <c r="D41" i="45" s="1"/>
  <c r="C35" i="45"/>
  <c r="C53" i="45" s="1"/>
  <c r="F53" i="45" l="1"/>
  <c r="D53" i="45"/>
  <c r="G53" i="45"/>
  <c r="H53" i="45"/>
  <c r="E53" i="45"/>
  <c r="I46" i="45"/>
  <c r="H41" i="45"/>
  <c r="H46" i="45" s="1"/>
  <c r="D39" i="45"/>
  <c r="D46" i="45" s="1"/>
  <c r="G39" i="45"/>
  <c r="G46" i="45" s="1"/>
  <c r="E41" i="45"/>
  <c r="E46" i="45" s="1"/>
  <c r="F41" i="45"/>
  <c r="F46" i="45" s="1"/>
  <c r="C39" i="45"/>
  <c r="C41" i="45"/>
  <c r="G48" i="45" l="1"/>
  <c r="F48" i="45"/>
  <c r="H48" i="45"/>
  <c r="E48" i="45"/>
  <c r="D48" i="45"/>
  <c r="I48" i="45"/>
  <c r="C46" i="45"/>
  <c r="H9" i="52" l="1"/>
  <c r="L9" i="52"/>
  <c r="K9" i="52"/>
  <c r="J9" i="52"/>
  <c r="L13" i="52"/>
  <c r="K13" i="52"/>
  <c r="J13" i="52"/>
  <c r="H13" i="52"/>
  <c r="H10" i="52"/>
  <c r="L10" i="52"/>
  <c r="K10" i="52"/>
  <c r="J10" i="52"/>
  <c r="L12" i="52"/>
  <c r="K12" i="52"/>
  <c r="J12" i="52"/>
  <c r="H12" i="52"/>
  <c r="L14" i="52"/>
  <c r="K14" i="52"/>
  <c r="J14" i="52"/>
  <c r="H14" i="52"/>
  <c r="H11" i="52"/>
  <c r="L11" i="52"/>
  <c r="J11" i="52"/>
  <c r="K11" i="52"/>
  <c r="C48" i="45"/>
  <c r="L8" i="52" l="1"/>
  <c r="H8" i="52"/>
  <c r="K8" i="52"/>
  <c r="J8" i="52"/>
</calcChain>
</file>

<file path=xl/sharedStrings.xml><?xml version="1.0" encoding="utf-8"?>
<sst xmlns="http://schemas.openxmlformats.org/spreadsheetml/2006/main" count="279" uniqueCount="215">
  <si>
    <t xml:space="preserve">Engagement </t>
  </si>
  <si>
    <t>Service engaged - Dependent</t>
  </si>
  <si>
    <t xml:space="preserve">Service engaged - Independent </t>
  </si>
  <si>
    <t>ILS Rate August, 2023</t>
  </si>
  <si>
    <t>FTE</t>
  </si>
  <si>
    <t xml:space="preserve">ILS Case Manager - </t>
  </si>
  <si>
    <t xml:space="preserve">Supervisor </t>
  </si>
  <si>
    <t>Program managers</t>
  </si>
  <si>
    <t>Executive/Director</t>
  </si>
  <si>
    <t>PBC/CQI Manager</t>
  </si>
  <si>
    <t>Administrative/data entry</t>
  </si>
  <si>
    <t>Benefits</t>
  </si>
  <si>
    <t>Yearly Costs</t>
  </si>
  <si>
    <t>Staff Health Insurance, Dental and Vision</t>
  </si>
  <si>
    <t xml:space="preserve">Professional Development </t>
  </si>
  <si>
    <t>Federal - assumes 5% net revenue</t>
  </si>
  <si>
    <t>Payroll Taxes</t>
  </si>
  <si>
    <t>Washington B&amp;O Tax</t>
  </si>
  <si>
    <t>Office Space</t>
  </si>
  <si>
    <t>Utilities (phone, electric, Internet)</t>
  </si>
  <si>
    <t>Office supplies/Tech/furniture/Janitorial</t>
  </si>
  <si>
    <t>Bookkeeping  &amp; Payroll</t>
  </si>
  <si>
    <t>Insurance (property and liability)</t>
  </si>
  <si>
    <t xml:space="preserve">HR &amp; Payroll </t>
  </si>
  <si>
    <t>Staff Equipment - Phones, Laptops, etc.</t>
  </si>
  <si>
    <t>Cloud storage and software</t>
  </si>
  <si>
    <t>Cost of staff attendance training(Coverage)</t>
  </si>
  <si>
    <t>Cost of Trainings (external trainings)</t>
  </si>
  <si>
    <t>Yearly</t>
  </si>
  <si>
    <t xml:space="preserve">Assumptions: The following are used to established costs for the service of ILS.  </t>
  </si>
  <si>
    <t>Taxes</t>
  </si>
  <si>
    <t>Type of Taxes</t>
  </si>
  <si>
    <t xml:space="preserve">Federal </t>
  </si>
  <si>
    <t>Benefits and Training</t>
  </si>
  <si>
    <t>Type of Benefits</t>
  </si>
  <si>
    <t>Yearly - Per FTE</t>
  </si>
  <si>
    <t>PTO -</t>
  </si>
  <si>
    <t xml:space="preserve">Holliday - </t>
  </si>
  <si>
    <t>Health Insurance, Dental and Vision</t>
  </si>
  <si>
    <t>Professional development</t>
  </si>
  <si>
    <t>Case Load Ratio by Service Type</t>
  </si>
  <si>
    <t xml:space="preserve">Notes </t>
  </si>
  <si>
    <t>Supervisors to PM</t>
  </si>
  <si>
    <t>0.05 FTE per Case Manager, same Salary as the Program Manager</t>
  </si>
  <si>
    <t>Program Manager to Exec</t>
  </si>
  <si>
    <t>Staff per FTE</t>
  </si>
  <si>
    <t xml:space="preserve">Office Space rent - avg </t>
  </si>
  <si>
    <t>100 sq. ft Per FTE - Avg cost</t>
  </si>
  <si>
    <t>Per sq ft per month</t>
  </si>
  <si>
    <t>Per FTE per month</t>
  </si>
  <si>
    <t>Per service delivery FTE per year</t>
  </si>
  <si>
    <t>per FTE per month</t>
  </si>
  <si>
    <t>Per month cost</t>
  </si>
  <si>
    <t>Per FTE per Year</t>
  </si>
  <si>
    <t>Per Person Per year</t>
  </si>
  <si>
    <t>See notes</t>
  </si>
  <si>
    <t>Service Costs</t>
  </si>
  <si>
    <t>Service outreach funds per youth per quarter (e.g. gift cards)</t>
  </si>
  <si>
    <t>Training and Skills Manuals per youth</t>
  </si>
  <si>
    <r>
      <t xml:space="preserve">Building Community </t>
    </r>
    <r>
      <rPr>
        <sz val="11"/>
        <color theme="1"/>
        <rFont val="Calibri"/>
        <family val="2"/>
        <scheme val="minor"/>
      </rPr>
      <t>(budget planning only)</t>
    </r>
  </si>
  <si>
    <t>Graduation - per youth per event</t>
  </si>
  <si>
    <t xml:space="preserve">Per Group Skills session </t>
  </si>
  <si>
    <t>Support funds (avg per youth per year)</t>
  </si>
  <si>
    <t>Grants for national conference</t>
  </si>
  <si>
    <t>Hosting special events - per youth per event</t>
  </si>
  <si>
    <t>Unplanned costs, Attorney, IT functions, maintenance staff, and other umbrella agency allocations/expenses -</t>
  </si>
  <si>
    <t>Staff Training yearly</t>
  </si>
  <si>
    <t>Time- hrs.</t>
  </si>
  <si>
    <t>LGBTQ+ youth;</t>
  </si>
  <si>
    <t>ten (10) hours of training per year on topics related to adolescents and preparation for adulthood; and</t>
  </si>
  <si>
    <t>educational advocacy as offered through DCYF or another approved agency.</t>
  </si>
  <si>
    <t>Mandated Reporter Training</t>
  </si>
  <si>
    <t>How to enter case notes and NYTD services in FamLink.</t>
  </si>
  <si>
    <t xml:space="preserve">Casey life skills assessment tool </t>
  </si>
  <si>
    <t xml:space="preserve">Total </t>
  </si>
  <si>
    <t xml:space="preserve">Service Materials </t>
  </si>
  <si>
    <t>Cost</t>
  </si>
  <si>
    <t>Life Skills Reimagined - per person</t>
  </si>
  <si>
    <t>Foster Club Toolkit</t>
  </si>
  <si>
    <t>Free</t>
  </si>
  <si>
    <t>Foster Club Permanency Pact</t>
  </si>
  <si>
    <t>Group Session</t>
  </si>
  <si>
    <t>Costs</t>
  </si>
  <si>
    <t>Note</t>
  </si>
  <si>
    <t>Note_2</t>
  </si>
  <si>
    <t>Office Space - 2.5 hours, $80 an hour</t>
  </si>
  <si>
    <t>PeerSpace.com</t>
  </si>
  <si>
    <t>Giggster.com</t>
  </si>
  <si>
    <t>Staff time</t>
  </si>
  <si>
    <t>Included in case load ratio</t>
  </si>
  <si>
    <t>$10 food per youth 15 youth per group</t>
  </si>
  <si>
    <t>WA ILS Positions</t>
  </si>
  <si>
    <t>WA ILS Position Description</t>
  </si>
  <si>
    <t>Key Credential</t>
  </si>
  <si>
    <t>SOC Code</t>
  </si>
  <si>
    <t>SOC Code Position Title</t>
  </si>
  <si>
    <t>ILS Staff (exhibit c, 2)</t>
  </si>
  <si>
    <t>None</t>
  </si>
  <si>
    <t>21-1000</t>
  </si>
  <si>
    <t xml:space="preserve">Community and Social Service Occupations </t>
  </si>
  <si>
    <t>Supervisor</t>
  </si>
  <si>
    <t>No Requirements</t>
  </si>
  <si>
    <t>Using standard 15% step</t>
  </si>
  <si>
    <t>Program Manager</t>
  </si>
  <si>
    <t>Exec/Director</t>
  </si>
  <si>
    <t>Administrative/Data</t>
  </si>
  <si>
    <t>Secretaries and Administrative Assistants, Except Legal, Medical, and Executive (43-6014)</t>
  </si>
  <si>
    <t>Region</t>
  </si>
  <si>
    <t>Washington</t>
  </si>
  <si>
    <t>Northwest</t>
  </si>
  <si>
    <t>Snohomish</t>
  </si>
  <si>
    <t>Seattle-King</t>
  </si>
  <si>
    <t>Tacoma-Pierce</t>
  </si>
  <si>
    <t>Olympic</t>
  </si>
  <si>
    <t>Pacific Mountain</t>
  </si>
  <si>
    <t>Southwest</t>
  </si>
  <si>
    <t>North Central</t>
  </si>
  <si>
    <t>South Central</t>
  </si>
  <si>
    <t>Eastern</t>
  </si>
  <si>
    <t>Benton-Franklin</t>
  </si>
  <si>
    <t>Spokane</t>
  </si>
  <si>
    <t>Region 1</t>
  </si>
  <si>
    <t>Region 2</t>
  </si>
  <si>
    <t>Region 3</t>
  </si>
  <si>
    <t>Region 4</t>
  </si>
  <si>
    <t>Region 5</t>
  </si>
  <si>
    <t>Region 6 South</t>
  </si>
  <si>
    <t>Region 6 North</t>
  </si>
  <si>
    <t xml:space="preserve">PTO and Holidays </t>
  </si>
  <si>
    <t xml:space="preserve">Personnel - FTE </t>
  </si>
  <si>
    <t>Training - hrs</t>
  </si>
  <si>
    <t>ILS Service Manager Yearly cost</t>
  </si>
  <si>
    <t>ILS Rate September, 2023</t>
  </si>
  <si>
    <t xml:space="preserve">ILS Service Managers Monthly </t>
  </si>
  <si>
    <t>Service Capacity</t>
  </si>
  <si>
    <t>Manager</t>
  </si>
  <si>
    <t>Dir/exec</t>
  </si>
  <si>
    <t>ILS C/M</t>
  </si>
  <si>
    <t>Region 6 - S</t>
  </si>
  <si>
    <t>Region 6 - N</t>
  </si>
  <si>
    <t>Monthly Capacity payment per FTE</t>
  </si>
  <si>
    <t>Engaged</t>
  </si>
  <si>
    <t>Active - Dependent</t>
  </si>
  <si>
    <t>Active - Post Dependency</t>
  </si>
  <si>
    <t>Travel | Office of Financial Management (wa.gov)</t>
  </si>
  <si>
    <t>Training and Skills Manuals per youth - One Time</t>
  </si>
  <si>
    <t>Catchment Area</t>
  </si>
  <si>
    <t>Support funds (per youth per year)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</si>
  <si>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</si>
  <si>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State wide youth served per month</t>
  </si>
  <si>
    <t>Independent Living Skills Fee Table</t>
  </si>
  <si>
    <t>Catchment 1             </t>
  </si>
  <si>
    <t>Catchment 2              </t>
  </si>
  <si>
    <t>Catchment  3              </t>
  </si>
  <si>
    <t>Catchment 4            </t>
  </si>
  <si>
    <t>Catchment 5            </t>
  </si>
  <si>
    <t xml:space="preserve"> Catchment area</t>
  </si>
  <si>
    <t>Kitsap, Jefferson, Clallam Counties</t>
  </si>
  <si>
    <t>Region 6 less Jefferson and Clallam counties</t>
  </si>
  <si>
    <t>Graduation - per youth per event - One event per year</t>
  </si>
  <si>
    <t>ILS Case Manager</t>
  </si>
  <si>
    <t>Personnel - Yearly Wages based on 1 Case Manager FTE</t>
  </si>
  <si>
    <t xml:space="preserve">Fee for Service - Billed in accordance with ILS contract </t>
  </si>
  <si>
    <t>Groups - Tours and Classes</t>
  </si>
  <si>
    <t>Building Community  - Group Celebrations</t>
  </si>
  <si>
    <t>Service participation incentive per youth per group</t>
  </si>
  <si>
    <r>
      <t xml:space="preserve">Mileage - </t>
    </r>
    <r>
      <rPr>
        <sz val="11"/>
        <color theme="1"/>
        <rFont val="Calibri"/>
        <family val="2"/>
        <scheme val="minor"/>
      </rPr>
      <t>as authorized by OFM</t>
    </r>
  </si>
  <si>
    <t>NA</t>
  </si>
  <si>
    <t xml:space="preserve">Selected SOC  Percentile </t>
  </si>
  <si>
    <r>
      <t xml:space="preserve">Catchment Area Wages  - </t>
    </r>
    <r>
      <rPr>
        <sz val="11"/>
        <color theme="1"/>
        <rFont val="Calibri"/>
        <family val="2"/>
        <scheme val="minor"/>
      </rPr>
      <t>Highest county rate per catchment</t>
    </r>
  </si>
  <si>
    <t>Source: JobsEQ®</t>
  </si>
  <si>
    <t>Note: Figures may not sum due to rounding.</t>
  </si>
  <si>
    <t>Employment data as of 2023Q1. Demand data reflect place-of-work employment; retirements reflect place-of-residence data. Employment and unemployment data represent a four-quarter moving average.</t>
  </si>
  <si>
    <t>1. Wage data are as of 2023Q1 and represent the average for all Covered Employment.</t>
  </si>
  <si>
    <t xml:space="preserve">Catchment 6 (Region 6 North)       </t>
  </si>
  <si>
    <t>Catchment 7 (Region 6 South)</t>
  </si>
  <si>
    <t>Work Force Development Wages</t>
  </si>
  <si>
    <t>Community and Social Service Occupations (21-1000) -  Wages</t>
  </si>
  <si>
    <t xml:space="preserve"> 43-6014</t>
  </si>
  <si>
    <t>Secretaries and Administrative Assistants</t>
  </si>
  <si>
    <t>Avg Wage Washington</t>
  </si>
  <si>
    <r>
      <t xml:space="preserve">Portion of the total  rate for ILS manager paid as </t>
    </r>
    <r>
      <rPr>
        <u/>
        <sz val="11"/>
        <color theme="1"/>
        <rFont val="Calibri"/>
        <family val="2"/>
        <scheme val="minor"/>
      </rPr>
      <t>capacity</t>
    </r>
    <r>
      <rPr>
        <sz val="11"/>
        <color theme="1"/>
        <rFont val="Calibri"/>
        <family val="2"/>
        <scheme val="minor"/>
      </rPr>
      <t xml:space="preserve"> versus </t>
    </r>
    <r>
      <rPr>
        <u/>
        <sz val="11"/>
        <color theme="1"/>
        <rFont val="Calibri"/>
        <family val="2"/>
        <scheme val="minor"/>
      </rPr>
      <t>case rate</t>
    </r>
    <r>
      <rPr>
        <sz val="11"/>
        <color theme="1"/>
        <rFont val="Calibri"/>
        <family val="2"/>
        <scheme val="minor"/>
      </rPr>
      <t>.</t>
    </r>
  </si>
  <si>
    <t>Cloud storage and related software</t>
  </si>
  <si>
    <t>Service participation incentive  per youth per group</t>
  </si>
  <si>
    <t>Reign 4</t>
  </si>
  <si>
    <t xml:space="preserve">Pierce County </t>
  </si>
  <si>
    <t>Fair Wages benchmark - Yearly Wages and Benefits</t>
  </si>
  <si>
    <t xml:space="preserve">Per Contract </t>
  </si>
  <si>
    <t xml:space="preserve">Grants for national conference - Yearly Total per Catchment </t>
  </si>
  <si>
    <t>ILS Case Manager Full Time Equivalent (FTE) - Service types</t>
  </si>
  <si>
    <t>Case Load standard per FTE</t>
  </si>
  <si>
    <t>no more than 2 sessions a week per catchment</t>
  </si>
  <si>
    <r>
      <t xml:space="preserve">2. Service outreach funds </t>
    </r>
    <r>
      <rPr>
        <u/>
        <sz val="11"/>
        <color theme="1"/>
        <rFont val="Calibri"/>
        <family val="2"/>
        <scheme val="minor"/>
      </rPr>
      <t>per youth per quarter</t>
    </r>
    <r>
      <rPr>
        <sz val="11"/>
        <color theme="1"/>
        <rFont val="Calibri"/>
        <family val="2"/>
        <scheme val="minor"/>
      </rPr>
      <t xml:space="preserve"> (e.g. gift cards) from $100 to $60 </t>
    </r>
  </si>
  <si>
    <r>
      <t xml:space="preserve">3. Graduation celebration - </t>
    </r>
    <r>
      <rPr>
        <u/>
        <sz val="11"/>
        <color theme="1"/>
        <rFont val="Calibri"/>
        <family val="2"/>
        <scheme val="minor"/>
      </rPr>
      <t>per youth per event</t>
    </r>
    <r>
      <rPr>
        <sz val="11"/>
        <color theme="1"/>
        <rFont val="Calibri"/>
        <family val="2"/>
        <scheme val="minor"/>
      </rPr>
      <t xml:space="preserve">- from $100 to $45 </t>
    </r>
  </si>
  <si>
    <t>4. Hosting special events - per youth per event- from $75 to $35</t>
  </si>
  <si>
    <t xml:space="preserve">5. Reduce Supervision ratio from 4 to DCYF standard of 6. </t>
  </si>
  <si>
    <t xml:space="preserve">6. ILS staff conference removed- $3,700 per Contractor. </t>
  </si>
  <si>
    <t>Maximum Billable FTEs</t>
  </si>
  <si>
    <t>Capacity Rate -
per  ILS Case Manager FTE per Month</t>
  </si>
  <si>
    <t>Case Rate - 
per month per youth, prorated</t>
  </si>
  <si>
    <t>Adjustments:</t>
  </si>
  <si>
    <t>8. Removed new PBC/CQI funding</t>
  </si>
  <si>
    <t>Operational Cost</t>
  </si>
  <si>
    <t>Unplanned Operational costs</t>
  </si>
  <si>
    <t>Operational Costs</t>
  </si>
  <si>
    <t>1. Increase ILS Case Manager case load by two</t>
  </si>
  <si>
    <t>7. Removed data entry funding</t>
  </si>
  <si>
    <t>ILS Rate Aprile, 2024</t>
  </si>
  <si>
    <t xml:space="preserve"> Regionalized Wages</t>
  </si>
  <si>
    <t xml:space="preserve"> Effective April 1, 2024 - 
</t>
  </si>
  <si>
    <t>Caseload Calculator</t>
  </si>
  <si>
    <t xml:space="preserve">Level </t>
  </si>
  <si>
    <t>Case Load standard</t>
  </si>
  <si>
    <t>Uncommitted Hours Weekly, available for non-case management work</t>
  </si>
  <si>
    <t xml:space="preserve">Number Of Cases Held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</si>
</sst>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  <numFmt numFmtId="167" formatCode="\$#,##0;;"/>
    <numFmt numFmtId="168" formatCode="#,##0.0"/>
    <numFmt numFmtId="169" formatCode="[$-409]mmmm\ d\,\ 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0000FF"/>
      <name val="Calibri"/>
      <family val="2"/>
    </font>
    <font>
      <sz val="11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ECF0F8"/>
        <bgColor indexed="64"/>
      </patternFill>
    </fill>
    <fill>
      <patternFill patternType="solid">
        <fgColor rgb="FFB4C6E7"/>
        <bgColor rgb="FF000000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42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0" fontId="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9" fillId="0" borderId="0">
      <alignment vertical="top"/>
    </xf>
    <xf numFmtId="0" fontId="9" fillId="0" borderId="0">
      <alignment vertical="top"/>
    </xf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0" fillId="0" borderId="27" applyNumberFormat="0" applyFill="0" applyAlignment="0" applyProtection="0"/>
    <xf numFmtId="0" fontId="1" fillId="7" borderId="15" applyNumberFormat="0" applyFont="0" applyAlignment="0" applyProtection="0"/>
    <xf numFmtId="0" fontId="23" fillId="0" borderId="0" applyNumberFormat="0" applyFill="0" applyBorder="0" applyAlignment="0" applyProtection="0"/>
    <xf numFmtId="0" fontId="1" fillId="0" borderId="0"/>
  </cellStyleXfs>
  <cellXfs count="195">
    <xf numFmtId="0" fontId="0" fillId="0" borderId="0" xfId="0"/>
    <xf numFmtId="0" fontId="3" fillId="0" borderId="0" xfId="0" applyFont="1"/>
    <xf numFmtId="9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8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6" xfId="0" applyBorder="1"/>
    <xf numFmtId="0" fontId="0" fillId="0" borderId="5" xfId="0" applyBorder="1"/>
    <xf numFmtId="1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/>
    <xf numFmtId="9" fontId="0" fillId="0" borderId="0" xfId="1" applyFont="1"/>
    <xf numFmtId="0" fontId="4" fillId="0" borderId="0" xfId="0" applyFont="1"/>
    <xf numFmtId="0" fontId="0" fillId="0" borderId="11" xfId="0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5" fontId="1" fillId="0" borderId="0" xfId="1" applyNumberFormat="1" applyFont="1" applyFill="1" applyBorder="1"/>
    <xf numFmtId="0" fontId="14" fillId="4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9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5" fillId="0" borderId="0" xfId="0" applyFont="1"/>
    <xf numFmtId="164" fontId="0" fillId="0" borderId="0" xfId="0" applyNumberFormat="1" applyAlignment="1">
      <alignment horizontal="center"/>
    </xf>
    <xf numFmtId="6" fontId="0" fillId="0" borderId="0" xfId="0" applyNumberFormat="1"/>
    <xf numFmtId="0" fontId="17" fillId="0" borderId="0" xfId="0" applyFont="1"/>
    <xf numFmtId="0" fontId="18" fillId="0" borderId="0" xfId="0" applyFont="1"/>
    <xf numFmtId="9" fontId="0" fillId="0" borderId="0" xfId="0" applyNumberFormat="1" applyAlignment="1">
      <alignment horizontal="center"/>
    </xf>
    <xf numFmtId="0" fontId="0" fillId="0" borderId="0" xfId="0" applyAlignment="1">
      <alignment horizontal="left" indent="2"/>
    </xf>
    <xf numFmtId="0" fontId="0" fillId="0" borderId="17" xfId="0" applyBorder="1"/>
    <xf numFmtId="0" fontId="0" fillId="0" borderId="10" xfId="0" applyBorder="1"/>
    <xf numFmtId="0" fontId="0" fillId="0" borderId="19" xfId="0" applyBorder="1"/>
    <xf numFmtId="0" fontId="0" fillId="0" borderId="17" xfId="0" applyBorder="1" applyAlignment="1">
      <alignment horizontal="left" wrapText="1"/>
    </xf>
    <xf numFmtId="0" fontId="0" fillId="0" borderId="12" xfId="0" applyBorder="1"/>
    <xf numFmtId="0" fontId="0" fillId="0" borderId="10" xfId="0" applyBorder="1" applyAlignment="1">
      <alignment horizontal="left" wrapText="1"/>
    </xf>
    <xf numFmtId="6" fontId="0" fillId="0" borderId="1" xfId="0" applyNumberForma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wrapText="1"/>
    </xf>
    <xf numFmtId="9" fontId="0" fillId="0" borderId="1" xfId="1" applyFont="1" applyFill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6" fontId="0" fillId="0" borderId="13" xfId="0" applyNumberFormat="1" applyBorder="1" applyAlignment="1">
      <alignment horizontal="left"/>
    </xf>
    <xf numFmtId="0" fontId="15" fillId="0" borderId="0" xfId="0" applyFont="1" applyAlignment="1">
      <alignment horizontal="right"/>
    </xf>
    <xf numFmtId="0" fontId="0" fillId="0" borderId="0" xfId="0" applyAlignment="1">
      <alignment horizontal="left" indent="1"/>
    </xf>
    <xf numFmtId="0" fontId="19" fillId="0" borderId="0" xfId="0" applyFont="1" applyAlignment="1">
      <alignment wrapText="1"/>
    </xf>
    <xf numFmtId="16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" xfId="0" applyBorder="1"/>
    <xf numFmtId="0" fontId="0" fillId="0" borderId="19" xfId="0" applyBorder="1" applyAlignment="1">
      <alignment horizontal="left" wrapText="1"/>
    </xf>
    <xf numFmtId="6" fontId="0" fillId="0" borderId="13" xfId="0" applyNumberFormat="1" applyBorder="1" applyAlignment="1">
      <alignment horizontal="center"/>
    </xf>
    <xf numFmtId="166" fontId="0" fillId="0" borderId="0" xfId="337" applyNumberFormat="1" applyFont="1"/>
    <xf numFmtId="0" fontId="0" fillId="0" borderId="20" xfId="0" applyBorder="1"/>
    <xf numFmtId="6" fontId="0" fillId="0" borderId="16" xfId="0" applyNumberFormat="1" applyBorder="1" applyAlignment="1">
      <alignment horizontal="center"/>
    </xf>
    <xf numFmtId="0" fontId="0" fillId="0" borderId="21" xfId="0" applyBorder="1"/>
    <xf numFmtId="0" fontId="0" fillId="0" borderId="0" xfId="0" applyAlignment="1">
      <alignment horizontal="left" wrapText="1"/>
    </xf>
    <xf numFmtId="0" fontId="2" fillId="0" borderId="22" xfId="0" applyFont="1" applyBorder="1" applyAlignment="1">
      <alignment horizontal="center"/>
    </xf>
    <xf numFmtId="8" fontId="0" fillId="0" borderId="18" xfId="0" applyNumberFormat="1" applyBorder="1" applyAlignment="1">
      <alignment horizontal="center"/>
    </xf>
    <xf numFmtId="0" fontId="16" fillId="0" borderId="0" xfId="0" applyFont="1" applyAlignment="1">
      <alignment horizontal="left" indent="2"/>
    </xf>
    <xf numFmtId="0" fontId="0" fillId="0" borderId="23" xfId="0" applyBorder="1" applyAlignment="1">
      <alignment horizontal="left" wrapText="1"/>
    </xf>
    <xf numFmtId="0" fontId="0" fillId="0" borderId="0" xfId="0" applyAlignment="1">
      <alignment horizontal="left" indent="4"/>
    </xf>
    <xf numFmtId="6" fontId="0" fillId="0" borderId="24" xfId="0" applyNumberFormat="1" applyBorder="1" applyAlignment="1">
      <alignment horizontal="center"/>
    </xf>
    <xf numFmtId="6" fontId="2" fillId="0" borderId="0" xfId="0" applyNumberFormat="1" applyFont="1"/>
    <xf numFmtId="8" fontId="0" fillId="0" borderId="25" xfId="0" applyNumberFormat="1" applyBorder="1" applyAlignment="1">
      <alignment horizontal="center"/>
    </xf>
    <xf numFmtId="0" fontId="0" fillId="0" borderId="26" xfId="0" applyBorder="1"/>
    <xf numFmtId="6" fontId="0" fillId="0" borderId="25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/>
    <xf numFmtId="9" fontId="1" fillId="0" borderId="1" xfId="1" applyFont="1" applyFill="1" applyBorder="1"/>
    <xf numFmtId="165" fontId="1" fillId="0" borderId="1" xfId="1" applyNumberFormat="1" applyFont="1" applyFill="1" applyBorder="1"/>
    <xf numFmtId="0" fontId="6" fillId="5" borderId="1" xfId="0" applyFont="1" applyFill="1" applyBorder="1" applyAlignment="1">
      <alignment horizontal="center"/>
    </xf>
    <xf numFmtId="0" fontId="0" fillId="5" borderId="1" xfId="0" applyFill="1" applyBorder="1"/>
    <xf numFmtId="0" fontId="0" fillId="0" borderId="1" xfId="0" applyBorder="1" applyAlignment="1">
      <alignment horizontal="center"/>
    </xf>
    <xf numFmtId="9" fontId="1" fillId="0" borderId="1" xfId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indent="3"/>
    </xf>
    <xf numFmtId="3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7" borderId="15" xfId="339" applyFont="1" applyAlignment="1">
      <alignment wrapText="1"/>
    </xf>
    <xf numFmtId="0" fontId="23" fillId="0" borderId="0" xfId="340" applyAlignment="1">
      <alignment wrapText="1"/>
    </xf>
    <xf numFmtId="41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4" borderId="0" xfId="0" applyFill="1" applyAlignment="1">
      <alignment horizontal="center"/>
    </xf>
    <xf numFmtId="0" fontId="0" fillId="0" borderId="0" xfId="0" applyProtection="1">
      <protection locked="0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23" borderId="0" xfId="0" applyFont="1" applyFill="1"/>
    <xf numFmtId="164" fontId="0" fillId="23" borderId="0" xfId="0" applyNumberFormat="1" applyFill="1" applyAlignment="1">
      <alignment horizontal="center"/>
    </xf>
    <xf numFmtId="2" fontId="0" fillId="23" borderId="0" xfId="0" applyNumberFormat="1" applyFill="1" applyAlignment="1">
      <alignment horizontal="center"/>
    </xf>
    <xf numFmtId="0" fontId="0" fillId="23" borderId="0" xfId="0" applyFill="1"/>
    <xf numFmtId="164" fontId="0" fillId="23" borderId="0" xfId="0" applyNumberFormat="1" applyFill="1"/>
    <xf numFmtId="0" fontId="2" fillId="23" borderId="0" xfId="0" applyFont="1" applyFill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6" fontId="0" fillId="0" borderId="0" xfId="0" applyNumberFormat="1" applyAlignment="1">
      <alignment horizontal="center"/>
    </xf>
    <xf numFmtId="41" fontId="0" fillId="0" borderId="0" xfId="0" applyNumberFormat="1"/>
    <xf numFmtId="0" fontId="23" fillId="0" borderId="0" xfId="340"/>
    <xf numFmtId="0" fontId="2" fillId="20" borderId="0" xfId="0" applyFont="1" applyFill="1" applyAlignment="1">
      <alignment horizontal="center"/>
    </xf>
    <xf numFmtId="0" fontId="2" fillId="20" borderId="0" xfId="0" applyFont="1" applyFill="1" applyAlignment="1">
      <alignment horizontal="center" wrapText="1"/>
    </xf>
    <xf numFmtId="166" fontId="0" fillId="0" borderId="0" xfId="0" applyNumberFormat="1" applyAlignment="1">
      <alignment horizontal="left" indent="1"/>
    </xf>
    <xf numFmtId="0" fontId="2" fillId="20" borderId="5" xfId="0" applyFont="1" applyFill="1" applyBorder="1" applyAlignment="1">
      <alignment horizontal="center" wrapText="1"/>
    </xf>
    <xf numFmtId="0" fontId="2" fillId="20" borderId="6" xfId="0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20" borderId="5" xfId="0" applyFon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9" fontId="0" fillId="0" borderId="0" xfId="1" applyFont="1" applyAlignment="1">
      <alignment horizontal="center"/>
    </xf>
    <xf numFmtId="8" fontId="0" fillId="0" borderId="0" xfId="0" applyNumberFormat="1" applyProtection="1">
      <protection locked="0"/>
    </xf>
    <xf numFmtId="0" fontId="2" fillId="0" borderId="5" xfId="0" applyFont="1" applyBorder="1" applyAlignment="1">
      <alignment horizontal="center"/>
    </xf>
    <xf numFmtId="0" fontId="25" fillId="0" borderId="0" xfId="0" applyFont="1" applyAlignment="1">
      <alignment vertical="top" wrapText="1"/>
    </xf>
    <xf numFmtId="6" fontId="0" fillId="22" borderId="32" xfId="0" applyNumberFormat="1" applyFill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7" xfId="0" applyFont="1" applyBorder="1" applyAlignment="1">
      <alignment wrapText="1"/>
    </xf>
    <xf numFmtId="8" fontId="0" fillId="0" borderId="38" xfId="0" applyNumberFormat="1" applyBorder="1" applyAlignment="1">
      <alignment horizontal="left" wrapText="1"/>
    </xf>
    <xf numFmtId="9" fontId="0" fillId="0" borderId="34" xfId="0" applyNumberFormat="1" applyBorder="1" applyAlignment="1">
      <alignment horizontal="center"/>
    </xf>
    <xf numFmtId="0" fontId="14" fillId="6" borderId="0" xfId="0" applyFont="1" applyFill="1" applyAlignment="1">
      <alignment horizontal="center" vertical="center" wrapText="1"/>
    </xf>
    <xf numFmtId="0" fontId="19" fillId="0" borderId="5" xfId="0" applyFont="1" applyBorder="1" applyAlignment="1">
      <alignment horizontal="center" wrapText="1"/>
    </xf>
    <xf numFmtId="9" fontId="19" fillId="0" borderId="0" xfId="0" applyNumberFormat="1" applyFont="1" applyAlignment="1">
      <alignment horizontal="center" wrapText="1"/>
    </xf>
    <xf numFmtId="0" fontId="19" fillId="0" borderId="5" xfId="0" applyFont="1" applyBorder="1" applyAlignment="1">
      <alignment horizontal="center" vertical="center" wrapText="1"/>
    </xf>
    <xf numFmtId="167" fontId="0" fillId="0" borderId="6" xfId="0" applyNumberFormat="1" applyBorder="1" applyAlignment="1">
      <alignment horizontal="center"/>
    </xf>
    <xf numFmtId="0" fontId="28" fillId="0" borderId="5" xfId="0" applyFont="1" applyBorder="1"/>
    <xf numFmtId="0" fontId="0" fillId="0" borderId="37" xfId="0" applyBorder="1"/>
    <xf numFmtId="0" fontId="0" fillId="0" borderId="6" xfId="0" applyBorder="1" applyAlignment="1">
      <alignment horizontal="center"/>
    </xf>
    <xf numFmtId="0" fontId="2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indent="2"/>
    </xf>
    <xf numFmtId="0" fontId="2" fillId="0" borderId="7" xfId="0" applyFont="1" applyBorder="1" applyAlignment="1">
      <alignment vertical="center"/>
    </xf>
    <xf numFmtId="167" fontId="0" fillId="0" borderId="9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3" fontId="0" fillId="25" borderId="1" xfId="0" applyNumberFormat="1" applyFill="1" applyBorder="1" applyAlignment="1">
      <alignment horizontal="center"/>
    </xf>
    <xf numFmtId="2" fontId="0" fillId="25" borderId="1" xfId="0" applyNumberFormat="1" applyFill="1" applyBorder="1" applyAlignment="1">
      <alignment horizontal="center"/>
    </xf>
    <xf numFmtId="168" fontId="0" fillId="25" borderId="1" xfId="0" applyNumberFormat="1" applyFill="1" applyBorder="1" applyAlignment="1">
      <alignment horizontal="center"/>
    </xf>
    <xf numFmtId="6" fontId="0" fillId="25" borderId="12" xfId="0" applyNumberFormat="1" applyFill="1" applyBorder="1" applyAlignment="1">
      <alignment horizontal="center"/>
    </xf>
    <xf numFmtId="6" fontId="0" fillId="25" borderId="24" xfId="0" applyNumberFormat="1" applyFill="1" applyBorder="1" applyAlignment="1">
      <alignment horizontal="center"/>
    </xf>
    <xf numFmtId="6" fontId="0" fillId="25" borderId="13" xfId="0" applyNumberFormat="1" applyFill="1" applyBorder="1" applyAlignment="1">
      <alignment horizontal="center"/>
    </xf>
    <xf numFmtId="0" fontId="0" fillId="0" borderId="0" xfId="0" applyAlignment="1">
      <alignment horizontal="left" vertical="center" indent="1"/>
    </xf>
    <xf numFmtId="164" fontId="0" fillId="0" borderId="5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39" xfId="0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1" fillId="0" borderId="31" xfId="34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3" fontId="0" fillId="20" borderId="11" xfId="0" applyNumberFormat="1" applyFill="1" applyBorder="1" applyAlignment="1">
      <alignment horizontal="center"/>
    </xf>
    <xf numFmtId="0" fontId="2" fillId="20" borderId="10" xfId="0" applyFont="1" applyFill="1" applyBorder="1" applyAlignment="1">
      <alignment horizontal="center" wrapText="1"/>
    </xf>
    <xf numFmtId="0" fontId="2" fillId="20" borderId="19" xfId="0" applyFont="1" applyFill="1" applyBorder="1" applyAlignment="1">
      <alignment horizontal="center" wrapText="1"/>
    </xf>
    <xf numFmtId="3" fontId="0" fillId="20" borderId="13" xfId="0" applyNumberForma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6" xfId="0" applyBorder="1" applyAlignment="1">
      <alignment horizontal="left" wrapText="1"/>
    </xf>
    <xf numFmtId="0" fontId="25" fillId="24" borderId="0" xfId="0" applyFont="1" applyFill="1" applyAlignment="1">
      <alignment horizontal="center" wrapText="1"/>
    </xf>
    <xf numFmtId="0" fontId="26" fillId="24" borderId="0" xfId="0" applyFont="1" applyFill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0" fillId="0" borderId="27" xfId="338" applyAlignment="1">
      <alignment horizontal="center"/>
    </xf>
    <xf numFmtId="0" fontId="13" fillId="0" borderId="28" xfId="0" applyFont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9" fontId="0" fillId="0" borderId="0" xfId="0" applyNumberFormat="1" applyAlignment="1">
      <alignment horizontal="center" vertical="center"/>
    </xf>
    <xf numFmtId="0" fontId="21" fillId="21" borderId="33" xfId="0" applyFont="1" applyFill="1" applyBorder="1" applyAlignment="1">
      <alignment horizontal="center"/>
    </xf>
    <xf numFmtId="0" fontId="21" fillId="21" borderId="0" xfId="0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left" wrapText="1"/>
    </xf>
  </cellXfs>
  <cellStyles count="342">
    <cellStyle name="20% - Accent1 2" xfId="45" xr:uid="{00000000-0005-0000-0000-000000000000}"/>
    <cellStyle name="20% - Accent2 2" xfId="46" xr:uid="{00000000-0005-0000-0000-000001000000}"/>
    <cellStyle name="20% - Accent3 2" xfId="47" xr:uid="{00000000-0005-0000-0000-000002000000}"/>
    <cellStyle name="20% - Accent4 2" xfId="48" xr:uid="{00000000-0005-0000-0000-000003000000}"/>
    <cellStyle name="20% - Accent5 2" xfId="49" xr:uid="{00000000-0005-0000-0000-000004000000}"/>
    <cellStyle name="20% - Accent6 2" xfId="50" xr:uid="{00000000-0005-0000-0000-000005000000}"/>
    <cellStyle name="40% - Accent1 2" xfId="51" xr:uid="{00000000-0005-0000-0000-000006000000}"/>
    <cellStyle name="40% - Accent2 2" xfId="52" xr:uid="{00000000-0005-0000-0000-000007000000}"/>
    <cellStyle name="40% - Accent3 2" xfId="53" xr:uid="{00000000-0005-0000-0000-000008000000}"/>
    <cellStyle name="40% - Accent4 2" xfId="54" xr:uid="{00000000-0005-0000-0000-000009000000}"/>
    <cellStyle name="40% - Accent5 2" xfId="55" xr:uid="{00000000-0005-0000-0000-00000A000000}"/>
    <cellStyle name="40% - Accent6 2" xfId="56" xr:uid="{00000000-0005-0000-0000-00000B000000}"/>
    <cellStyle name="Comma" xfId="337" builtinId="3"/>
    <cellStyle name="Comma 12" xfId="57" xr:uid="{00000000-0005-0000-0000-00000D000000}"/>
    <cellStyle name="Comma 15" xfId="334" xr:uid="{00000000-0005-0000-0000-00000E000000}"/>
    <cellStyle name="Comma 2" xfId="5" xr:uid="{00000000-0005-0000-0000-00000F000000}"/>
    <cellStyle name="Comma 2 2" xfId="26" xr:uid="{00000000-0005-0000-0000-000010000000}"/>
    <cellStyle name="Comma 3" xfId="7" xr:uid="{00000000-0005-0000-0000-000011000000}"/>
    <cellStyle name="Comma 3 2" xfId="27" xr:uid="{00000000-0005-0000-0000-000012000000}"/>
    <cellStyle name="Comma 3 2 2" xfId="58" xr:uid="{00000000-0005-0000-0000-000013000000}"/>
    <cellStyle name="Comma 3 2 2 2" xfId="59" xr:uid="{00000000-0005-0000-0000-000014000000}"/>
    <cellStyle name="Comma 3 2 2 2 2" xfId="60" xr:uid="{00000000-0005-0000-0000-000015000000}"/>
    <cellStyle name="Comma 3 2 2 2 2 2" xfId="61" xr:uid="{00000000-0005-0000-0000-000016000000}"/>
    <cellStyle name="Comma 3 2 2 2 3" xfId="62" xr:uid="{00000000-0005-0000-0000-000017000000}"/>
    <cellStyle name="Comma 3 2 2 2 4" xfId="63" xr:uid="{00000000-0005-0000-0000-000018000000}"/>
    <cellStyle name="Comma 3 2 2 2 5" xfId="64" xr:uid="{00000000-0005-0000-0000-000019000000}"/>
    <cellStyle name="Comma 3 2 2 3" xfId="65" xr:uid="{00000000-0005-0000-0000-00001A000000}"/>
    <cellStyle name="Comma 3 2 2 3 2" xfId="66" xr:uid="{00000000-0005-0000-0000-00001B000000}"/>
    <cellStyle name="Comma 3 2 2 4" xfId="67" xr:uid="{00000000-0005-0000-0000-00001C000000}"/>
    <cellStyle name="Comma 3 2 2 5" xfId="68" xr:uid="{00000000-0005-0000-0000-00001D000000}"/>
    <cellStyle name="Comma 3 2 2 6" xfId="69" xr:uid="{00000000-0005-0000-0000-00001E000000}"/>
    <cellStyle name="Comma 3 2 3" xfId="70" xr:uid="{00000000-0005-0000-0000-00001F000000}"/>
    <cellStyle name="Comma 3 2 3 2" xfId="71" xr:uid="{00000000-0005-0000-0000-000020000000}"/>
    <cellStyle name="Comma 3 2 3 2 2" xfId="72" xr:uid="{00000000-0005-0000-0000-000021000000}"/>
    <cellStyle name="Comma 3 2 3 3" xfId="73" xr:uid="{00000000-0005-0000-0000-000022000000}"/>
    <cellStyle name="Comma 3 2 3 4" xfId="74" xr:uid="{00000000-0005-0000-0000-000023000000}"/>
    <cellStyle name="Comma 3 2 3 5" xfId="75" xr:uid="{00000000-0005-0000-0000-000024000000}"/>
    <cellStyle name="Comma 3 2 4" xfId="76" xr:uid="{00000000-0005-0000-0000-000025000000}"/>
    <cellStyle name="Comma 3 2 4 2" xfId="77" xr:uid="{00000000-0005-0000-0000-000026000000}"/>
    <cellStyle name="Comma 3 2 5" xfId="78" xr:uid="{00000000-0005-0000-0000-000027000000}"/>
    <cellStyle name="Comma 3 2 6" xfId="79" xr:uid="{00000000-0005-0000-0000-000028000000}"/>
    <cellStyle name="Comma 3 2 7" xfId="80" xr:uid="{00000000-0005-0000-0000-000029000000}"/>
    <cellStyle name="Comma 3 2 8" xfId="44" xr:uid="{00000000-0005-0000-0000-00002A000000}"/>
    <cellStyle name="Comma 3 3" xfId="32" xr:uid="{00000000-0005-0000-0000-00002B000000}"/>
    <cellStyle name="Comma 3 3 2" xfId="82" xr:uid="{00000000-0005-0000-0000-00002C000000}"/>
    <cellStyle name="Comma 3 3 2 2" xfId="83" xr:uid="{00000000-0005-0000-0000-00002D000000}"/>
    <cellStyle name="Comma 3 3 2 2 2" xfId="84" xr:uid="{00000000-0005-0000-0000-00002E000000}"/>
    <cellStyle name="Comma 3 3 2 3" xfId="85" xr:uid="{00000000-0005-0000-0000-00002F000000}"/>
    <cellStyle name="Comma 3 3 2 4" xfId="86" xr:uid="{00000000-0005-0000-0000-000030000000}"/>
    <cellStyle name="Comma 3 3 2 5" xfId="87" xr:uid="{00000000-0005-0000-0000-000031000000}"/>
    <cellStyle name="Comma 3 3 3" xfId="88" xr:uid="{00000000-0005-0000-0000-000032000000}"/>
    <cellStyle name="Comma 3 3 3 2" xfId="89" xr:uid="{00000000-0005-0000-0000-000033000000}"/>
    <cellStyle name="Comma 3 3 4" xfId="90" xr:uid="{00000000-0005-0000-0000-000034000000}"/>
    <cellStyle name="Comma 3 3 5" xfId="91" xr:uid="{00000000-0005-0000-0000-000035000000}"/>
    <cellStyle name="Comma 3 3 6" xfId="92" xr:uid="{00000000-0005-0000-0000-000036000000}"/>
    <cellStyle name="Comma 3 3 7" xfId="81" xr:uid="{00000000-0005-0000-0000-000037000000}"/>
    <cellStyle name="Comma 3 4" xfId="93" xr:uid="{00000000-0005-0000-0000-000038000000}"/>
    <cellStyle name="Comma 3 4 2" xfId="94" xr:uid="{00000000-0005-0000-0000-000039000000}"/>
    <cellStyle name="Comma 3 4 2 2" xfId="95" xr:uid="{00000000-0005-0000-0000-00003A000000}"/>
    <cellStyle name="Comma 3 4 3" xfId="96" xr:uid="{00000000-0005-0000-0000-00003B000000}"/>
    <cellStyle name="Comma 3 4 4" xfId="97" xr:uid="{00000000-0005-0000-0000-00003C000000}"/>
    <cellStyle name="Comma 3 4 5" xfId="98" xr:uid="{00000000-0005-0000-0000-00003D000000}"/>
    <cellStyle name="Comma 3 5" xfId="99" xr:uid="{00000000-0005-0000-0000-00003E000000}"/>
    <cellStyle name="Comma 3 5 2" xfId="100" xr:uid="{00000000-0005-0000-0000-00003F000000}"/>
    <cellStyle name="Comma 3 6" xfId="101" xr:uid="{00000000-0005-0000-0000-000040000000}"/>
    <cellStyle name="Comma 3 7" xfId="102" xr:uid="{00000000-0005-0000-0000-000041000000}"/>
    <cellStyle name="Comma 3 8" xfId="103" xr:uid="{00000000-0005-0000-0000-000042000000}"/>
    <cellStyle name="Comma 3 9" xfId="36" xr:uid="{00000000-0005-0000-0000-000043000000}"/>
    <cellStyle name="Comma 4" xfId="29" xr:uid="{00000000-0005-0000-0000-000044000000}"/>
    <cellStyle name="Comma 4 2" xfId="34" xr:uid="{00000000-0005-0000-0000-000045000000}"/>
    <cellStyle name="Comma 4 2 2" xfId="105" xr:uid="{00000000-0005-0000-0000-000046000000}"/>
    <cellStyle name="Comma 4 2 2 2" xfId="106" xr:uid="{00000000-0005-0000-0000-000047000000}"/>
    <cellStyle name="Comma 4 2 2 2 2" xfId="107" xr:uid="{00000000-0005-0000-0000-000048000000}"/>
    <cellStyle name="Comma 4 2 2 2 2 2" xfId="108" xr:uid="{00000000-0005-0000-0000-000049000000}"/>
    <cellStyle name="Comma 4 2 2 2 3" xfId="109" xr:uid="{00000000-0005-0000-0000-00004A000000}"/>
    <cellStyle name="Comma 4 2 2 2 4" xfId="110" xr:uid="{00000000-0005-0000-0000-00004B000000}"/>
    <cellStyle name="Comma 4 2 2 2 5" xfId="111" xr:uid="{00000000-0005-0000-0000-00004C000000}"/>
    <cellStyle name="Comma 4 2 2 3" xfId="112" xr:uid="{00000000-0005-0000-0000-00004D000000}"/>
    <cellStyle name="Comma 4 2 2 3 2" xfId="113" xr:uid="{00000000-0005-0000-0000-00004E000000}"/>
    <cellStyle name="Comma 4 2 2 4" xfId="114" xr:uid="{00000000-0005-0000-0000-00004F000000}"/>
    <cellStyle name="Comma 4 2 2 5" xfId="115" xr:uid="{00000000-0005-0000-0000-000050000000}"/>
    <cellStyle name="Comma 4 2 2 6" xfId="116" xr:uid="{00000000-0005-0000-0000-000051000000}"/>
    <cellStyle name="Comma 4 2 3" xfId="117" xr:uid="{00000000-0005-0000-0000-000052000000}"/>
    <cellStyle name="Comma 4 2 3 2" xfId="118" xr:uid="{00000000-0005-0000-0000-000053000000}"/>
    <cellStyle name="Comma 4 2 3 2 2" xfId="119" xr:uid="{00000000-0005-0000-0000-000054000000}"/>
    <cellStyle name="Comma 4 2 3 3" xfId="120" xr:uid="{00000000-0005-0000-0000-000055000000}"/>
    <cellStyle name="Comma 4 2 3 4" xfId="121" xr:uid="{00000000-0005-0000-0000-000056000000}"/>
    <cellStyle name="Comma 4 2 3 5" xfId="122" xr:uid="{00000000-0005-0000-0000-000057000000}"/>
    <cellStyle name="Comma 4 2 4" xfId="123" xr:uid="{00000000-0005-0000-0000-000058000000}"/>
    <cellStyle name="Comma 4 2 4 2" xfId="124" xr:uid="{00000000-0005-0000-0000-000059000000}"/>
    <cellStyle name="Comma 4 2 5" xfId="125" xr:uid="{00000000-0005-0000-0000-00005A000000}"/>
    <cellStyle name="Comma 4 2 6" xfId="126" xr:uid="{00000000-0005-0000-0000-00005B000000}"/>
    <cellStyle name="Comma 4 2 7" xfId="127" xr:uid="{00000000-0005-0000-0000-00005C000000}"/>
    <cellStyle name="Comma 4 2 8" xfId="104" xr:uid="{00000000-0005-0000-0000-00005D000000}"/>
    <cellStyle name="Comma 4 3" xfId="128" xr:uid="{00000000-0005-0000-0000-00005E000000}"/>
    <cellStyle name="Comma 4 3 2" xfId="129" xr:uid="{00000000-0005-0000-0000-00005F000000}"/>
    <cellStyle name="Comma 4 3 2 2" xfId="130" xr:uid="{00000000-0005-0000-0000-000060000000}"/>
    <cellStyle name="Comma 4 3 2 2 2" xfId="131" xr:uid="{00000000-0005-0000-0000-000061000000}"/>
    <cellStyle name="Comma 4 3 2 3" xfId="132" xr:uid="{00000000-0005-0000-0000-000062000000}"/>
    <cellStyle name="Comma 4 3 2 4" xfId="133" xr:uid="{00000000-0005-0000-0000-000063000000}"/>
    <cellStyle name="Comma 4 3 2 5" xfId="134" xr:uid="{00000000-0005-0000-0000-000064000000}"/>
    <cellStyle name="Comma 4 3 3" xfId="135" xr:uid="{00000000-0005-0000-0000-000065000000}"/>
    <cellStyle name="Comma 4 3 3 2" xfId="136" xr:uid="{00000000-0005-0000-0000-000066000000}"/>
    <cellStyle name="Comma 4 3 4" xfId="137" xr:uid="{00000000-0005-0000-0000-000067000000}"/>
    <cellStyle name="Comma 4 3 5" xfId="138" xr:uid="{00000000-0005-0000-0000-000068000000}"/>
    <cellStyle name="Comma 4 3 6" xfId="139" xr:uid="{00000000-0005-0000-0000-000069000000}"/>
    <cellStyle name="Comma 4 4" xfId="140" xr:uid="{00000000-0005-0000-0000-00006A000000}"/>
    <cellStyle name="Comma 4 4 2" xfId="141" xr:uid="{00000000-0005-0000-0000-00006B000000}"/>
    <cellStyle name="Comma 4 4 2 2" xfId="142" xr:uid="{00000000-0005-0000-0000-00006C000000}"/>
    <cellStyle name="Comma 4 4 3" xfId="143" xr:uid="{00000000-0005-0000-0000-00006D000000}"/>
    <cellStyle name="Comma 4 4 4" xfId="144" xr:uid="{00000000-0005-0000-0000-00006E000000}"/>
    <cellStyle name="Comma 4 4 5" xfId="145" xr:uid="{00000000-0005-0000-0000-00006F000000}"/>
    <cellStyle name="Comma 4 5" xfId="146" xr:uid="{00000000-0005-0000-0000-000070000000}"/>
    <cellStyle name="Comma 4 5 2" xfId="147" xr:uid="{00000000-0005-0000-0000-000071000000}"/>
    <cellStyle name="Comma 4 6" xfId="148" xr:uid="{00000000-0005-0000-0000-000072000000}"/>
    <cellStyle name="Comma 4 7" xfId="149" xr:uid="{00000000-0005-0000-0000-000073000000}"/>
    <cellStyle name="Comma 4 8" xfId="150" xr:uid="{00000000-0005-0000-0000-000074000000}"/>
    <cellStyle name="Comma 4 9" xfId="38" xr:uid="{00000000-0005-0000-0000-000075000000}"/>
    <cellStyle name="Comma 5" xfId="41" xr:uid="{00000000-0005-0000-0000-000076000000}"/>
    <cellStyle name="Comma 5 2" xfId="151" xr:uid="{00000000-0005-0000-0000-000077000000}"/>
    <cellStyle name="Comma 5 2 2" xfId="152" xr:uid="{00000000-0005-0000-0000-000078000000}"/>
    <cellStyle name="Comma 5 2 2 2" xfId="153" xr:uid="{00000000-0005-0000-0000-000079000000}"/>
    <cellStyle name="Comma 5 2 2 2 2" xfId="154" xr:uid="{00000000-0005-0000-0000-00007A000000}"/>
    <cellStyle name="Comma 5 2 2 3" xfId="155" xr:uid="{00000000-0005-0000-0000-00007B000000}"/>
    <cellStyle name="Comma 5 2 2 4" xfId="156" xr:uid="{00000000-0005-0000-0000-00007C000000}"/>
    <cellStyle name="Comma 5 2 2 5" xfId="157" xr:uid="{00000000-0005-0000-0000-00007D000000}"/>
    <cellStyle name="Comma 5 2 3" xfId="158" xr:uid="{00000000-0005-0000-0000-00007E000000}"/>
    <cellStyle name="Comma 5 2 3 2" xfId="159" xr:uid="{00000000-0005-0000-0000-00007F000000}"/>
    <cellStyle name="Comma 5 2 4" xfId="160" xr:uid="{00000000-0005-0000-0000-000080000000}"/>
    <cellStyle name="Comma 5 2 5" xfId="161" xr:uid="{00000000-0005-0000-0000-000081000000}"/>
    <cellStyle name="Comma 5 2 6" xfId="162" xr:uid="{00000000-0005-0000-0000-000082000000}"/>
    <cellStyle name="Comma 5 3" xfId="163" xr:uid="{00000000-0005-0000-0000-000083000000}"/>
    <cellStyle name="Comma 5 3 2" xfId="164" xr:uid="{00000000-0005-0000-0000-000084000000}"/>
    <cellStyle name="Comma 5 3 2 2" xfId="165" xr:uid="{00000000-0005-0000-0000-000085000000}"/>
    <cellStyle name="Comma 5 3 3" xfId="166" xr:uid="{00000000-0005-0000-0000-000086000000}"/>
    <cellStyle name="Comma 5 3 4" xfId="167" xr:uid="{00000000-0005-0000-0000-000087000000}"/>
    <cellStyle name="Comma 5 3 5" xfId="168" xr:uid="{00000000-0005-0000-0000-000088000000}"/>
    <cellStyle name="Comma 5 4" xfId="169" xr:uid="{00000000-0005-0000-0000-000089000000}"/>
    <cellStyle name="Comma 5 4 2" xfId="170" xr:uid="{00000000-0005-0000-0000-00008A000000}"/>
    <cellStyle name="Comma 5 5" xfId="171" xr:uid="{00000000-0005-0000-0000-00008B000000}"/>
    <cellStyle name="Comma 5 6" xfId="172" xr:uid="{00000000-0005-0000-0000-00008C000000}"/>
    <cellStyle name="Comma 5 7" xfId="173" xr:uid="{00000000-0005-0000-0000-00008D000000}"/>
    <cellStyle name="Comma 6" xfId="174" xr:uid="{00000000-0005-0000-0000-00008E000000}"/>
    <cellStyle name="Comma 7" xfId="175" xr:uid="{00000000-0005-0000-0000-00008F000000}"/>
    <cellStyle name="Comma 8" xfId="176" xr:uid="{00000000-0005-0000-0000-000090000000}"/>
    <cellStyle name="Comma 9" xfId="4" xr:uid="{00000000-0005-0000-0000-00003C000000}"/>
    <cellStyle name="Comma0" xfId="30" xr:uid="{00000000-0005-0000-0000-000091000000}"/>
    <cellStyle name="Currency 2" xfId="43" xr:uid="{00000000-0005-0000-0000-000092000000}"/>
    <cellStyle name="Heading 1" xfId="338" builtinId="16"/>
    <cellStyle name="Hyperlink" xfId="340" builtinId="8"/>
    <cellStyle name="Hyperlink 2" xfId="8" xr:uid="{00000000-0005-0000-0000-000094000000}"/>
    <cellStyle name="Hyperlink 3" xfId="9" xr:uid="{00000000-0005-0000-0000-000095000000}"/>
    <cellStyle name="Hyperlink 4" xfId="10" xr:uid="{00000000-0005-0000-0000-000096000000}"/>
    <cellStyle name="Hyperlink 5" xfId="13" xr:uid="{00000000-0005-0000-0000-000097000000}"/>
    <cellStyle name="Hyperlink 6" xfId="14" xr:uid="{00000000-0005-0000-0000-000098000000}"/>
    <cellStyle name="Hyperlink 7" xfId="15" xr:uid="{00000000-0005-0000-0000-000099000000}"/>
    <cellStyle name="Hyperlink 8" xfId="16" xr:uid="{00000000-0005-0000-0000-00009A000000}"/>
    <cellStyle name="Normal" xfId="0" builtinId="0"/>
    <cellStyle name="Normal 10" xfId="177" xr:uid="{00000000-0005-0000-0000-00009C000000}"/>
    <cellStyle name="Normal 10 2" xfId="178" xr:uid="{00000000-0005-0000-0000-00009D000000}"/>
    <cellStyle name="Normal 11" xfId="179" xr:uid="{00000000-0005-0000-0000-00009E000000}"/>
    <cellStyle name="Normal 11 2" xfId="180" xr:uid="{00000000-0005-0000-0000-00009F000000}"/>
    <cellStyle name="Normal 12" xfId="181" xr:uid="{00000000-0005-0000-0000-0000A0000000}"/>
    <cellStyle name="Normal 13" xfId="40" xr:uid="{00000000-0005-0000-0000-0000A1000000}"/>
    <cellStyle name="Normal 14" xfId="182" xr:uid="{00000000-0005-0000-0000-0000A2000000}"/>
    <cellStyle name="Normal 15" xfId="336" xr:uid="{00000000-0005-0000-0000-0000A3000000}"/>
    <cellStyle name="Normal 16" xfId="3" xr:uid="{00000000-0005-0000-0000-0000CB000000}"/>
    <cellStyle name="Normal 19" xfId="341" xr:uid="{EEDBC14C-49FB-4585-AD7B-F3B28A9F0A04}"/>
    <cellStyle name="Normal 2" xfId="2" xr:uid="{C2629008-66DA-4602-8C14-216BA1FC7478}"/>
    <cellStyle name="Normal 2 2" xfId="21" xr:uid="{00000000-0005-0000-0000-0000A5000000}"/>
    <cellStyle name="Normal 2 3" xfId="18" xr:uid="{00000000-0005-0000-0000-0000A6000000}"/>
    <cellStyle name="Normal 2 4" xfId="6" xr:uid="{00000000-0005-0000-0000-0000A4000000}"/>
    <cellStyle name="Normal 3" xfId="22" xr:uid="{00000000-0005-0000-0000-0000A7000000}"/>
    <cellStyle name="Normal 3 2" xfId="183" xr:uid="{00000000-0005-0000-0000-0000A8000000}"/>
    <cellStyle name="Normal 4" xfId="19" xr:uid="{00000000-0005-0000-0000-0000A9000000}"/>
    <cellStyle name="Normal 4 2" xfId="184" xr:uid="{00000000-0005-0000-0000-0000AA000000}"/>
    <cellStyle name="Normal 5" xfId="25" xr:uid="{00000000-0005-0000-0000-0000AB000000}"/>
    <cellStyle name="Normal 5 10" xfId="35" xr:uid="{00000000-0005-0000-0000-0000AC000000}"/>
    <cellStyle name="Normal 5 2" xfId="31" xr:uid="{00000000-0005-0000-0000-0000AD000000}"/>
    <cellStyle name="Normal 5 2 2" xfId="186" xr:uid="{00000000-0005-0000-0000-0000AE000000}"/>
    <cellStyle name="Normal 5 2 2 2" xfId="187" xr:uid="{00000000-0005-0000-0000-0000AF000000}"/>
    <cellStyle name="Normal 5 2 2 2 2" xfId="188" xr:uid="{00000000-0005-0000-0000-0000B0000000}"/>
    <cellStyle name="Normal 5 2 2 2 2 2" xfId="189" xr:uid="{00000000-0005-0000-0000-0000B1000000}"/>
    <cellStyle name="Normal 5 2 2 2 3" xfId="190" xr:uid="{00000000-0005-0000-0000-0000B2000000}"/>
    <cellStyle name="Normal 5 2 2 2 4" xfId="191" xr:uid="{00000000-0005-0000-0000-0000B3000000}"/>
    <cellStyle name="Normal 5 2 2 2 5" xfId="192" xr:uid="{00000000-0005-0000-0000-0000B4000000}"/>
    <cellStyle name="Normal 5 2 2 3" xfId="193" xr:uid="{00000000-0005-0000-0000-0000B5000000}"/>
    <cellStyle name="Normal 5 2 2 3 2" xfId="194" xr:uid="{00000000-0005-0000-0000-0000B6000000}"/>
    <cellStyle name="Normal 5 2 2 4" xfId="195" xr:uid="{00000000-0005-0000-0000-0000B7000000}"/>
    <cellStyle name="Normal 5 2 2 5" xfId="196" xr:uid="{00000000-0005-0000-0000-0000B8000000}"/>
    <cellStyle name="Normal 5 2 2 6" xfId="197" xr:uid="{00000000-0005-0000-0000-0000B9000000}"/>
    <cellStyle name="Normal 5 2 3" xfId="198" xr:uid="{00000000-0005-0000-0000-0000BA000000}"/>
    <cellStyle name="Normal 5 2 3 2" xfId="199" xr:uid="{00000000-0005-0000-0000-0000BB000000}"/>
    <cellStyle name="Normal 5 2 3 2 2" xfId="200" xr:uid="{00000000-0005-0000-0000-0000BC000000}"/>
    <cellStyle name="Normal 5 2 3 3" xfId="201" xr:uid="{00000000-0005-0000-0000-0000BD000000}"/>
    <cellStyle name="Normal 5 2 3 4" xfId="202" xr:uid="{00000000-0005-0000-0000-0000BE000000}"/>
    <cellStyle name="Normal 5 2 3 5" xfId="203" xr:uid="{00000000-0005-0000-0000-0000BF000000}"/>
    <cellStyle name="Normal 5 2 4" xfId="204" xr:uid="{00000000-0005-0000-0000-0000C0000000}"/>
    <cellStyle name="Normal 5 2 4 2" xfId="205" xr:uid="{00000000-0005-0000-0000-0000C1000000}"/>
    <cellStyle name="Normal 5 2 5" xfId="206" xr:uid="{00000000-0005-0000-0000-0000C2000000}"/>
    <cellStyle name="Normal 5 2 6" xfId="207" xr:uid="{00000000-0005-0000-0000-0000C3000000}"/>
    <cellStyle name="Normal 5 2 7" xfId="208" xr:uid="{00000000-0005-0000-0000-0000C4000000}"/>
    <cellStyle name="Normal 5 2 8" xfId="185" xr:uid="{00000000-0005-0000-0000-0000C5000000}"/>
    <cellStyle name="Normal 5 3" xfId="209" xr:uid="{00000000-0005-0000-0000-0000C6000000}"/>
    <cellStyle name="Normal 5 3 2" xfId="210" xr:uid="{00000000-0005-0000-0000-0000C7000000}"/>
    <cellStyle name="Normal 5 3 2 2" xfId="211" xr:uid="{00000000-0005-0000-0000-0000C8000000}"/>
    <cellStyle name="Normal 5 3 2 2 2" xfId="212" xr:uid="{00000000-0005-0000-0000-0000C9000000}"/>
    <cellStyle name="Normal 5 3 2 3" xfId="213" xr:uid="{00000000-0005-0000-0000-0000CA000000}"/>
    <cellStyle name="Normal 5 3 2 4" xfId="214" xr:uid="{00000000-0005-0000-0000-0000CB000000}"/>
    <cellStyle name="Normal 5 3 2 5" xfId="215" xr:uid="{00000000-0005-0000-0000-0000CC000000}"/>
    <cellStyle name="Normal 5 3 3" xfId="216" xr:uid="{00000000-0005-0000-0000-0000CD000000}"/>
    <cellStyle name="Normal 5 3 3 2" xfId="217" xr:uid="{00000000-0005-0000-0000-0000CE000000}"/>
    <cellStyle name="Normal 5 3 4" xfId="218" xr:uid="{00000000-0005-0000-0000-0000CF000000}"/>
    <cellStyle name="Normal 5 3 5" xfId="219" xr:uid="{00000000-0005-0000-0000-0000D0000000}"/>
    <cellStyle name="Normal 5 3 6" xfId="220" xr:uid="{00000000-0005-0000-0000-0000D1000000}"/>
    <cellStyle name="Normal 5 4" xfId="221" xr:uid="{00000000-0005-0000-0000-0000D2000000}"/>
    <cellStyle name="Normal 5 4 2" xfId="222" xr:uid="{00000000-0005-0000-0000-0000D3000000}"/>
    <cellStyle name="Normal 5 4 2 2" xfId="223" xr:uid="{00000000-0005-0000-0000-0000D4000000}"/>
    <cellStyle name="Normal 5 4 3" xfId="224" xr:uid="{00000000-0005-0000-0000-0000D5000000}"/>
    <cellStyle name="Normal 5 4 4" xfId="225" xr:uid="{00000000-0005-0000-0000-0000D6000000}"/>
    <cellStyle name="Normal 5 4 5" xfId="226" xr:uid="{00000000-0005-0000-0000-0000D7000000}"/>
    <cellStyle name="Normal 5 5" xfId="227" xr:uid="{00000000-0005-0000-0000-0000D8000000}"/>
    <cellStyle name="Normal 5 5 2" xfId="228" xr:uid="{00000000-0005-0000-0000-0000D9000000}"/>
    <cellStyle name="Normal 5 6" xfId="229" xr:uid="{00000000-0005-0000-0000-0000DA000000}"/>
    <cellStyle name="Normal 5 7" xfId="230" xr:uid="{00000000-0005-0000-0000-0000DB000000}"/>
    <cellStyle name="Normal 5 8" xfId="231" xr:uid="{00000000-0005-0000-0000-0000DC000000}"/>
    <cellStyle name="Normal 5 9" xfId="232" xr:uid="{00000000-0005-0000-0000-0000DD000000}"/>
    <cellStyle name="Normal 6" xfId="28" xr:uid="{00000000-0005-0000-0000-0000DE000000}"/>
    <cellStyle name="Normal 6 10" xfId="37" xr:uid="{00000000-0005-0000-0000-0000DF000000}"/>
    <cellStyle name="Normal 6 2" xfId="33" xr:uid="{00000000-0005-0000-0000-0000E0000000}"/>
    <cellStyle name="Normal 6 2 2" xfId="234" xr:uid="{00000000-0005-0000-0000-0000E1000000}"/>
    <cellStyle name="Normal 6 2 2 2" xfId="235" xr:uid="{00000000-0005-0000-0000-0000E2000000}"/>
    <cellStyle name="Normal 6 2 2 2 2" xfId="236" xr:uid="{00000000-0005-0000-0000-0000E3000000}"/>
    <cellStyle name="Normal 6 2 2 2 2 2" xfId="237" xr:uid="{00000000-0005-0000-0000-0000E4000000}"/>
    <cellStyle name="Normal 6 2 2 2 3" xfId="238" xr:uid="{00000000-0005-0000-0000-0000E5000000}"/>
    <cellStyle name="Normal 6 2 2 2 4" xfId="239" xr:uid="{00000000-0005-0000-0000-0000E6000000}"/>
    <cellStyle name="Normal 6 2 2 2 5" xfId="240" xr:uid="{00000000-0005-0000-0000-0000E7000000}"/>
    <cellStyle name="Normal 6 2 2 3" xfId="241" xr:uid="{00000000-0005-0000-0000-0000E8000000}"/>
    <cellStyle name="Normal 6 2 2 3 2" xfId="242" xr:uid="{00000000-0005-0000-0000-0000E9000000}"/>
    <cellStyle name="Normal 6 2 2 4" xfId="243" xr:uid="{00000000-0005-0000-0000-0000EA000000}"/>
    <cellStyle name="Normal 6 2 2 5" xfId="244" xr:uid="{00000000-0005-0000-0000-0000EB000000}"/>
    <cellStyle name="Normal 6 2 2 6" xfId="245" xr:uid="{00000000-0005-0000-0000-0000EC000000}"/>
    <cellStyle name="Normal 6 2 3" xfId="246" xr:uid="{00000000-0005-0000-0000-0000ED000000}"/>
    <cellStyle name="Normal 6 2 3 2" xfId="247" xr:uid="{00000000-0005-0000-0000-0000EE000000}"/>
    <cellStyle name="Normal 6 2 3 2 2" xfId="248" xr:uid="{00000000-0005-0000-0000-0000EF000000}"/>
    <cellStyle name="Normal 6 2 3 3" xfId="249" xr:uid="{00000000-0005-0000-0000-0000F0000000}"/>
    <cellStyle name="Normal 6 2 3 4" xfId="250" xr:uid="{00000000-0005-0000-0000-0000F1000000}"/>
    <cellStyle name="Normal 6 2 3 5" xfId="251" xr:uid="{00000000-0005-0000-0000-0000F2000000}"/>
    <cellStyle name="Normal 6 2 4" xfId="252" xr:uid="{00000000-0005-0000-0000-0000F3000000}"/>
    <cellStyle name="Normal 6 2 4 2" xfId="253" xr:uid="{00000000-0005-0000-0000-0000F4000000}"/>
    <cellStyle name="Normal 6 2 5" xfId="254" xr:uid="{00000000-0005-0000-0000-0000F5000000}"/>
    <cellStyle name="Normal 6 2 6" xfId="255" xr:uid="{00000000-0005-0000-0000-0000F6000000}"/>
    <cellStyle name="Normal 6 2 7" xfId="256" xr:uid="{00000000-0005-0000-0000-0000F7000000}"/>
    <cellStyle name="Normal 6 2 8" xfId="233" xr:uid="{00000000-0005-0000-0000-0000F8000000}"/>
    <cellStyle name="Normal 6 3" xfId="257" xr:uid="{00000000-0005-0000-0000-0000F9000000}"/>
    <cellStyle name="Normal 6 3 2" xfId="258" xr:uid="{00000000-0005-0000-0000-0000FA000000}"/>
    <cellStyle name="Normal 6 3 2 2" xfId="259" xr:uid="{00000000-0005-0000-0000-0000FB000000}"/>
    <cellStyle name="Normal 6 3 2 2 2" xfId="260" xr:uid="{00000000-0005-0000-0000-0000FC000000}"/>
    <cellStyle name="Normal 6 3 2 3" xfId="261" xr:uid="{00000000-0005-0000-0000-0000FD000000}"/>
    <cellStyle name="Normal 6 3 2 4" xfId="262" xr:uid="{00000000-0005-0000-0000-0000FE000000}"/>
    <cellStyle name="Normal 6 3 2 5" xfId="263" xr:uid="{00000000-0005-0000-0000-0000FF000000}"/>
    <cellStyle name="Normal 6 3 3" xfId="264" xr:uid="{00000000-0005-0000-0000-000000010000}"/>
    <cellStyle name="Normal 6 3 3 2" xfId="265" xr:uid="{00000000-0005-0000-0000-000001010000}"/>
    <cellStyle name="Normal 6 3 4" xfId="266" xr:uid="{00000000-0005-0000-0000-000002010000}"/>
    <cellStyle name="Normal 6 3 5" xfId="267" xr:uid="{00000000-0005-0000-0000-000003010000}"/>
    <cellStyle name="Normal 6 3 6" xfId="268" xr:uid="{00000000-0005-0000-0000-000004010000}"/>
    <cellStyle name="Normal 6 4" xfId="269" xr:uid="{00000000-0005-0000-0000-000005010000}"/>
    <cellStyle name="Normal 6 4 2" xfId="270" xr:uid="{00000000-0005-0000-0000-000006010000}"/>
    <cellStyle name="Normal 6 4 2 2" xfId="271" xr:uid="{00000000-0005-0000-0000-000007010000}"/>
    <cellStyle name="Normal 6 4 3" xfId="272" xr:uid="{00000000-0005-0000-0000-000008010000}"/>
    <cellStyle name="Normal 6 4 4" xfId="273" xr:uid="{00000000-0005-0000-0000-000009010000}"/>
    <cellStyle name="Normal 6 4 5" xfId="274" xr:uid="{00000000-0005-0000-0000-00000A010000}"/>
    <cellStyle name="Normal 6 5" xfId="275" xr:uid="{00000000-0005-0000-0000-00000B010000}"/>
    <cellStyle name="Normal 6 5 2" xfId="276" xr:uid="{00000000-0005-0000-0000-00000C010000}"/>
    <cellStyle name="Normal 6 6" xfId="277" xr:uid="{00000000-0005-0000-0000-00000D010000}"/>
    <cellStyle name="Normal 6 7" xfId="278" xr:uid="{00000000-0005-0000-0000-00000E010000}"/>
    <cellStyle name="Normal 6 8" xfId="279" xr:uid="{00000000-0005-0000-0000-00000F010000}"/>
    <cellStyle name="Normal 6 9" xfId="280" xr:uid="{00000000-0005-0000-0000-000010010000}"/>
    <cellStyle name="Normal 7" xfId="39" xr:uid="{00000000-0005-0000-0000-000011010000}"/>
    <cellStyle name="Normal 7 2" xfId="281" xr:uid="{00000000-0005-0000-0000-000012010000}"/>
    <cellStyle name="Normal 8" xfId="11" xr:uid="{00000000-0005-0000-0000-000013010000}"/>
    <cellStyle name="Normal 8 2" xfId="283" xr:uid="{00000000-0005-0000-0000-000014010000}"/>
    <cellStyle name="Normal 8 2 2" xfId="284" xr:uid="{00000000-0005-0000-0000-000015010000}"/>
    <cellStyle name="Normal 8 2 2 2" xfId="285" xr:uid="{00000000-0005-0000-0000-000016010000}"/>
    <cellStyle name="Normal 8 2 2 2 2" xfId="286" xr:uid="{00000000-0005-0000-0000-000017010000}"/>
    <cellStyle name="Normal 8 2 2 3" xfId="287" xr:uid="{00000000-0005-0000-0000-000018010000}"/>
    <cellStyle name="Normal 8 2 2 4" xfId="288" xr:uid="{00000000-0005-0000-0000-000019010000}"/>
    <cellStyle name="Normal 8 2 2 5" xfId="289" xr:uid="{00000000-0005-0000-0000-00001A010000}"/>
    <cellStyle name="Normal 8 2 3" xfId="290" xr:uid="{00000000-0005-0000-0000-00001B010000}"/>
    <cellStyle name="Normal 8 2 3 2" xfId="291" xr:uid="{00000000-0005-0000-0000-00001C010000}"/>
    <cellStyle name="Normal 8 2 4" xfId="292" xr:uid="{00000000-0005-0000-0000-00001D010000}"/>
    <cellStyle name="Normal 8 2 5" xfId="293" xr:uid="{00000000-0005-0000-0000-00001E010000}"/>
    <cellStyle name="Normal 8 2 6" xfId="294" xr:uid="{00000000-0005-0000-0000-00001F010000}"/>
    <cellStyle name="Normal 8 3" xfId="295" xr:uid="{00000000-0005-0000-0000-000020010000}"/>
    <cellStyle name="Normal 8 3 2" xfId="296" xr:uid="{00000000-0005-0000-0000-000021010000}"/>
    <cellStyle name="Normal 8 3 2 2" xfId="297" xr:uid="{00000000-0005-0000-0000-000022010000}"/>
    <cellStyle name="Normal 8 3 3" xfId="298" xr:uid="{00000000-0005-0000-0000-000023010000}"/>
    <cellStyle name="Normal 8 3 4" xfId="299" xr:uid="{00000000-0005-0000-0000-000024010000}"/>
    <cellStyle name="Normal 8 3 5" xfId="300" xr:uid="{00000000-0005-0000-0000-000025010000}"/>
    <cellStyle name="Normal 8 4" xfId="301" xr:uid="{00000000-0005-0000-0000-000026010000}"/>
    <cellStyle name="Normal 8 4 2" xfId="302" xr:uid="{00000000-0005-0000-0000-000027010000}"/>
    <cellStyle name="Normal 8 5" xfId="303" xr:uid="{00000000-0005-0000-0000-000028010000}"/>
    <cellStyle name="Normal 8 6" xfId="304" xr:uid="{00000000-0005-0000-0000-000029010000}"/>
    <cellStyle name="Normal 8 7" xfId="305" xr:uid="{00000000-0005-0000-0000-00002A010000}"/>
    <cellStyle name="Normal 8 8" xfId="282" xr:uid="{00000000-0005-0000-0000-00002B010000}"/>
    <cellStyle name="Normal 9" xfId="12" xr:uid="{00000000-0005-0000-0000-00002C010000}"/>
    <cellStyle name="Normal 9 2" xfId="306" xr:uid="{00000000-0005-0000-0000-00002D010000}"/>
    <cellStyle name="Note" xfId="339" builtinId="10"/>
    <cellStyle name="Note 2" xfId="307" xr:uid="{00000000-0005-0000-0000-00002E010000}"/>
    <cellStyle name="Note 2 2" xfId="308" xr:uid="{00000000-0005-0000-0000-00002F010000}"/>
    <cellStyle name="Percent" xfId="1" builtinId="5"/>
    <cellStyle name="Percent 2" xfId="20" xr:uid="{00000000-0005-0000-0000-000031010000}"/>
    <cellStyle name="Percent 2 3" xfId="335" xr:uid="{00000000-0005-0000-0000-000032010000}"/>
    <cellStyle name="Percent 3" xfId="23" xr:uid="{00000000-0005-0000-0000-000033010000}"/>
    <cellStyle name="Percent 3 2" xfId="309" xr:uid="{00000000-0005-0000-0000-000034010000}"/>
    <cellStyle name="Percent 3 2 2" xfId="310" xr:uid="{00000000-0005-0000-0000-000035010000}"/>
    <cellStyle name="Percent 3 2 2 2" xfId="311" xr:uid="{00000000-0005-0000-0000-000036010000}"/>
    <cellStyle name="Percent 3 2 2 2 2" xfId="312" xr:uid="{00000000-0005-0000-0000-000037010000}"/>
    <cellStyle name="Percent 3 2 2 3" xfId="313" xr:uid="{00000000-0005-0000-0000-000038010000}"/>
    <cellStyle name="Percent 3 2 2 4" xfId="314" xr:uid="{00000000-0005-0000-0000-000039010000}"/>
    <cellStyle name="Percent 3 2 2 5" xfId="315" xr:uid="{00000000-0005-0000-0000-00003A010000}"/>
    <cellStyle name="Percent 3 2 3" xfId="316" xr:uid="{00000000-0005-0000-0000-00003B010000}"/>
    <cellStyle name="Percent 3 2 3 2" xfId="317" xr:uid="{00000000-0005-0000-0000-00003C010000}"/>
    <cellStyle name="Percent 3 2 4" xfId="318" xr:uid="{00000000-0005-0000-0000-00003D010000}"/>
    <cellStyle name="Percent 3 2 5" xfId="319" xr:uid="{00000000-0005-0000-0000-00003E010000}"/>
    <cellStyle name="Percent 3 2 6" xfId="320" xr:uid="{00000000-0005-0000-0000-00003F010000}"/>
    <cellStyle name="Percent 3 3" xfId="321" xr:uid="{00000000-0005-0000-0000-000040010000}"/>
    <cellStyle name="Percent 3 3 2" xfId="322" xr:uid="{00000000-0005-0000-0000-000041010000}"/>
    <cellStyle name="Percent 3 3 2 2" xfId="323" xr:uid="{00000000-0005-0000-0000-000042010000}"/>
    <cellStyle name="Percent 3 3 3" xfId="324" xr:uid="{00000000-0005-0000-0000-000043010000}"/>
    <cellStyle name="Percent 3 3 4" xfId="325" xr:uid="{00000000-0005-0000-0000-000044010000}"/>
    <cellStyle name="Percent 3 3 5" xfId="326" xr:uid="{00000000-0005-0000-0000-000045010000}"/>
    <cellStyle name="Percent 3 4" xfId="327" xr:uid="{00000000-0005-0000-0000-000046010000}"/>
    <cellStyle name="Percent 3 4 2" xfId="328" xr:uid="{00000000-0005-0000-0000-000047010000}"/>
    <cellStyle name="Percent 3 5" xfId="329" xr:uid="{00000000-0005-0000-0000-000048010000}"/>
    <cellStyle name="Percent 3 6" xfId="330" xr:uid="{00000000-0005-0000-0000-000049010000}"/>
    <cellStyle name="Percent 3 7" xfId="331" xr:uid="{00000000-0005-0000-0000-00004A010000}"/>
    <cellStyle name="Percent 3 8" xfId="42" xr:uid="{00000000-0005-0000-0000-00004B010000}"/>
    <cellStyle name="Percent 4" xfId="332" xr:uid="{00000000-0005-0000-0000-00004C010000}"/>
    <cellStyle name="Percent 5" xfId="333" xr:uid="{00000000-0005-0000-0000-00004D010000}"/>
    <cellStyle name="Percent 6" xfId="17" xr:uid="{00000000-0005-0000-0000-000060010000}"/>
    <cellStyle name="Warning Text 2" xfId="24" xr:uid="{00000000-0005-0000-0000-00004E010000}"/>
  </cellStyles>
  <dxfs count="13">
    <dxf>
      <font>
        <color rgb="FF9C0006"/>
      </font>
      <fill>
        <patternFill>
          <bgColor rgb="FFFFC7CE"/>
        </patternFill>
      </fill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2" justifyLastLine="0" shrinkToFit="0" readingOrder="0"/>
    </dxf>
    <dxf>
      <font>
        <b/>
      </font>
      <fill>
        <patternFill patternType="solid">
          <fgColor indexed="64"/>
          <bgColor rgb="FFECF0F8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3" formatCode="_(* #,##0_);_(* \(#,##0\);_(* &quot;-&quot;_);_(@_)"/>
      <alignment horizontal="center" vertical="bottom" textRotation="0" wrapText="0" indent="0" justifyLastLine="0" shrinkToFit="0" readingOrder="0"/>
    </dxf>
    <dxf>
      <alignment horizontal="left" vertical="bottom" textRotation="0" wrapText="0" indent="1" justifyLastLine="0" shrinkToFit="0" readingOrder="0"/>
    </dxf>
    <dxf>
      <fill>
        <patternFill patternType="solid">
          <fgColor indexed="64"/>
          <bgColor theme="4" tint="0.79998168889431442"/>
        </patternFill>
      </fill>
    </dxf>
  </dxfs>
  <tableStyles count="0" defaultTableStyle="TableStyleMedium2" defaultPivotStyle="PivotStyleLight16"/>
  <colors>
    <mruColors>
      <color rgb="FFECF0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wa-my.sharepoint.com/personal/timothy_kelly_dcyf_wa_gov/Documents/Rate%20models%20and%20implementation/Programs/IL/FINAL%20IL%20Rate%20planning%20%20V2%20scaling%20down.xlsx" TargetMode="External"/><Relationship Id="rId1" Type="http://schemas.openxmlformats.org/officeDocument/2006/relationships/externalLinkPath" Target="/personal/timothy_kelly_dcyf_wa_gov/Documents/Rate%20models%20and%20implementation/Programs/IL/FINAL%20IL%20Rate%20planning%20%20V2%20scaling%20dow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nge log"/>
      <sheetName val="Funding"/>
      <sheetName val="Rate Assumptions"/>
      <sheetName val="Rate Summary"/>
      <sheetName val="Assumption back up"/>
      <sheetName val="Regionalized costs"/>
      <sheetName val="Living Wage Examples"/>
    </sheetNames>
    <sheetDataSet>
      <sheetData sheetId="0"/>
      <sheetData sheetId="1"/>
      <sheetData sheetId="2"/>
      <sheetData sheetId="3"/>
      <sheetData sheetId="4">
        <row r="24">
          <cell r="D24">
            <v>350</v>
          </cell>
        </row>
      </sheetData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78CBDC0-143B-4367-8F08-F0AE6560A746}" name="Table6" displayName="Table6" ref="B25:I31" totalsRowShown="0" headerRowDxfId="12">
  <tableColumns count="8">
    <tableColumn id="1" xr3:uid="{E53D358C-7BEF-4CA0-AC1A-36EFE151E9D7}" name="Personnel - Yearly Wages based on 1 Case Manager FTE" dataDxfId="11"/>
    <tableColumn id="2" xr3:uid="{5FAC5B6B-62F0-4892-B15B-FFB7C64E4530}" name="Region 1" dataDxfId="10">
      <calculatedColumnFormula>$C4*'Regionalized costs'!$D$55</calculatedColumnFormula>
    </tableColumn>
    <tableColumn id="3" xr3:uid="{01B5A247-69AC-4006-BED6-8E85C8101235}" name="Region 2" dataDxfId="9">
      <calculatedColumnFormula>$C4*'Regionalized costs'!$D$57</calculatedColumnFormula>
    </tableColumn>
    <tableColumn id="5" xr3:uid="{258ACF83-E540-48D7-B5E1-481609F6E23D}" name="Region 3" dataDxfId="8">
      <calculatedColumnFormula>$C4*'Regionalized costs'!$D$59</calculatedColumnFormula>
    </tableColumn>
    <tableColumn id="6" xr3:uid="{22C99866-1F53-4194-A8DD-2FC1EACCFF47}" name="Region 4" dataDxfId="7">
      <calculatedColumnFormula>$C4*'Regionalized costs'!$D$61</calculatedColumnFormula>
    </tableColumn>
    <tableColumn id="7" xr3:uid="{E5F32D6B-879D-4924-8999-562999161FDA}" name="Region 5" dataDxfId="6">
      <calculatedColumnFormula>$C4*'Regionalized costs'!$D$63</calculatedColumnFormula>
    </tableColumn>
    <tableColumn id="8" xr3:uid="{6A938AE6-8097-44A0-B6EA-CC49C4DABEDE}" name="Region 6 North" dataDxfId="5">
      <calculatedColumnFormula>$C4*'Regionalized costs'!$D$65</calculatedColumnFormula>
    </tableColumn>
    <tableColumn id="9" xr3:uid="{38F4A96B-4A87-4342-B10D-DD518EFB992F}" name="Region 6 South" dataDxfId="4">
      <calculatedColumnFormula>$C4*'Regionalized costs'!$D$67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B0A4A95-5511-4F37-B01D-1BFB221178A6}" name="Table9" displayName="Table9" ref="B12:C22" totalsRowShown="0" headerRowDxfId="3">
  <tableColumns count="2">
    <tableColumn id="1" xr3:uid="{1FC1C6EA-776F-4CCF-B728-3D9C982BFA02}" name="Operational Cost"/>
    <tableColumn id="2" xr3:uid="{C4A03A83-37C7-44FC-917B-6917C89674BF}" name="Yearly Costs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6EF3C39-4C4D-467A-8A1D-329DD3308727}" name="Table1" displayName="Table1" ref="C3:D10" totalsRowShown="0">
  <autoFilter ref="C3:D10" xr:uid="{E6EF3C39-4C4D-467A-8A1D-329DD3308727}"/>
  <tableColumns count="2">
    <tableColumn id="1" xr3:uid="{36EE1842-75D5-4FB2-B9F7-36B4B808B450}" name="Staff Training yearly" dataDxfId="2"/>
    <tableColumn id="2" xr3:uid="{BC4EA07F-31F0-4F55-B5DB-2AC84E9E0635}" name="Time- hrs.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48C1F33-2027-4851-B217-034A821DA4F4}" name="Table2" displayName="Table2" ref="C13:D16" totalsRowShown="0">
  <autoFilter ref="C13:D16" xr:uid="{F48C1F33-2027-4851-B217-034A821DA4F4}"/>
  <tableColumns count="2">
    <tableColumn id="1" xr3:uid="{B407EB52-B6E1-4405-9156-36103DCAAFAB}" name="Service Materials "/>
    <tableColumn id="2" xr3:uid="{649694B3-5242-4978-88E8-F18782E23C7E}" name="Cost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5433F4F-D040-47E5-8F02-984ADCACDB20}" name="Table4" displayName="Table4" ref="C20:F24" totalsRowShown="0">
  <autoFilter ref="C20:F24" xr:uid="{95433F4F-D040-47E5-8F02-984ADCACDB20}"/>
  <tableColumns count="4">
    <tableColumn id="1" xr3:uid="{8AB1A46B-239B-49BA-9514-DF9696F534CB}" name="Group Session" dataDxfId="1"/>
    <tableColumn id="2" xr3:uid="{E56F9009-709F-48E6-9664-74520C980A8C}" name="Costs"/>
    <tableColumn id="3" xr3:uid="{8B01B173-7D33-4FA4-867F-C4EC21FB7DC8}" name="Note"/>
    <tableColumn id="4" xr3:uid="{BEB7350D-6AF9-4DB8-8A38-D36D95A28FB0}" name="Note_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ofm.wa.gov/accounting/administrative-accounting-resources/trave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giggster.com/search/Seattle--WA--USA/meeting?q=Office&amp;to_min_hours=3&amp;attendees=6-15" TargetMode="External"/><Relationship Id="rId1" Type="http://schemas.openxmlformats.org/officeDocument/2006/relationships/hyperlink" Target="https://www.peerspace.com/s/?viewport_bbox=%5b47.751711514879595,-122.55664122119138,47.47397662398048,-122.12748777880857%5d&amp;map_pref=true&amp;p=1&amp;space_type=conference-room,classroom&amp;location=seattle--wa--united-states&amp;a=meeting" TargetMode="External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hmuraecon.com/jobse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07126-8EB8-4AC8-A6C4-13D0372F9129}">
  <dimension ref="A1:N38"/>
  <sheetViews>
    <sheetView tabSelected="1" zoomScale="115" zoomScaleNormal="115" workbookViewId="0">
      <selection activeCell="L30" sqref="L30"/>
    </sheetView>
  </sheetViews>
  <sheetFormatPr defaultRowHeight="15" x14ac:dyDescent="0.25"/>
  <cols>
    <col min="3" max="3" width="37.28515625" customWidth="1"/>
    <col min="4" max="4" width="10.42578125" style="3" customWidth="1"/>
    <col min="5" max="5" width="6.7109375" customWidth="1"/>
    <col min="6" max="6" width="19.85546875" customWidth="1"/>
    <col min="7" max="7" width="3.7109375" customWidth="1"/>
    <col min="8" max="8" width="18" customWidth="1"/>
    <col min="9" max="9" width="5" customWidth="1"/>
    <col min="10" max="10" width="16.7109375" customWidth="1"/>
    <col min="11" max="11" width="13.42578125" customWidth="1"/>
    <col min="12" max="12" width="16" customWidth="1"/>
    <col min="13" max="13" width="3.7109375" customWidth="1"/>
    <col min="14" max="14" width="21.5703125" customWidth="1"/>
  </cols>
  <sheetData>
    <row r="1" spans="1:14" ht="15" customHeight="1" x14ac:dyDescent="0.25">
      <c r="A1" s="168" t="s">
        <v>150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4" ht="41.25" customHeight="1" x14ac:dyDescent="0.25">
      <c r="A2" s="169" t="s">
        <v>209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</row>
    <row r="3" spans="1:14" ht="15" customHeight="1" x14ac:dyDescent="0.2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4" x14ac:dyDescent="0.2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4" ht="15.75" thickBot="1" x14ac:dyDescent="0.3"/>
    <row r="6" spans="1:14" ht="29.25" customHeight="1" x14ac:dyDescent="0.25">
      <c r="F6" s="170" t="s">
        <v>198</v>
      </c>
      <c r="G6" s="171"/>
      <c r="H6" s="172"/>
      <c r="J6" s="170" t="s">
        <v>199</v>
      </c>
      <c r="K6" s="173"/>
      <c r="L6" s="174"/>
      <c r="M6" s="118"/>
    </row>
    <row r="7" spans="1:14" ht="45.75" customHeight="1" x14ac:dyDescent="0.25">
      <c r="C7" s="109" t="s">
        <v>146</v>
      </c>
      <c r="D7" s="110" t="s">
        <v>134</v>
      </c>
      <c r="E7" s="109"/>
      <c r="F7" s="112" t="s">
        <v>197</v>
      </c>
      <c r="G7" s="110"/>
      <c r="H7" s="113" t="s">
        <v>140</v>
      </c>
      <c r="I7" s="109"/>
      <c r="J7" s="120" t="s">
        <v>141</v>
      </c>
      <c r="K7" s="110" t="s">
        <v>142</v>
      </c>
      <c r="L7" s="113" t="s">
        <v>143</v>
      </c>
      <c r="M7" s="119"/>
    </row>
    <row r="8" spans="1:14" x14ac:dyDescent="0.25">
      <c r="C8" s="92" t="s">
        <v>121</v>
      </c>
      <c r="D8" s="91">
        <v>125</v>
      </c>
      <c r="F8" s="114">
        <f>ROUND(D8/AVERAGE('Rate Assumptions'!$C$22:$C$24),1)</f>
        <v>3.6</v>
      </c>
      <c r="G8" s="92"/>
      <c r="H8" s="115">
        <f>ROUND(('Rate Calculations'!$C$55*('Rate Calculations'!C48)),0)</f>
        <v>4056</v>
      </c>
      <c r="J8" s="152">
        <f>ROUND((1-'Rate Calculations'!$C$55)*('Rate Calculations'!C$48/'Rate Assumptions'!$C22),0)</f>
        <v>134</v>
      </c>
      <c r="K8" s="29">
        <f>ROUND((1-'Rate Calculations'!$C$55)*('Rate Calculations'!C$48/'Rate Assumptions'!$C23),0)</f>
        <v>142</v>
      </c>
      <c r="L8" s="115">
        <f>ROUND((1-'Rate Calculations'!$C$55)*('Rate Calculations'!C$48/'Rate Assumptions'!$C24),0)</f>
        <v>150</v>
      </c>
    </row>
    <row r="9" spans="1:14" x14ac:dyDescent="0.25">
      <c r="C9" s="92" t="s">
        <v>122</v>
      </c>
      <c r="D9" s="91">
        <v>101</v>
      </c>
      <c r="F9" s="114">
        <f>ROUND(D9/AVERAGE('Rate Assumptions'!$C$22:$C$24),1)</f>
        <v>2.9</v>
      </c>
      <c r="G9" s="92"/>
      <c r="H9" s="115">
        <f>ROUND(('Rate Calculations'!$C$55*('Rate Calculations'!D48)),0)</f>
        <v>4384</v>
      </c>
      <c r="J9" s="152">
        <f>ROUND((1-'Rate Calculations'!$C$55)*('Rate Calculations'!D$48/'Rate Assumptions'!$C22),0)</f>
        <v>145</v>
      </c>
      <c r="K9" s="29">
        <f>ROUND((1-'Rate Calculations'!$C$55)*('Rate Calculations'!D$48/'Rate Assumptions'!$C23),0)</f>
        <v>153</v>
      </c>
      <c r="L9" s="115">
        <f>ROUND((1-'Rate Calculations'!$C$55)*('Rate Calculations'!D$48/'Rate Assumptions'!$C24),0)</f>
        <v>162</v>
      </c>
    </row>
    <row r="10" spans="1:14" x14ac:dyDescent="0.25">
      <c r="C10" s="92" t="s">
        <v>123</v>
      </c>
      <c r="D10" s="91">
        <v>114</v>
      </c>
      <c r="F10" s="114">
        <f>ROUND(D10/AVERAGE('Rate Assumptions'!$C$22:$C$24),1)</f>
        <v>3.3</v>
      </c>
      <c r="G10" s="92"/>
      <c r="H10" s="115">
        <f>ROUND(('Rate Calculations'!$C$55*('Rate Calculations'!E48)),0)</f>
        <v>4236</v>
      </c>
      <c r="J10" s="152">
        <f>ROUND((1-'Rate Calculations'!$C$55)*('Rate Calculations'!E$48/'Rate Assumptions'!$C22),0)</f>
        <v>140</v>
      </c>
      <c r="K10" s="29">
        <f>ROUND((1-'Rate Calculations'!$C$55)*('Rate Calculations'!E$48/'Rate Assumptions'!$C23),0)</f>
        <v>148</v>
      </c>
      <c r="L10" s="115">
        <f>ROUND((1-'Rate Calculations'!$C$55)*('Rate Calculations'!E$48/'Rate Assumptions'!$C24),0)</f>
        <v>157</v>
      </c>
    </row>
    <row r="11" spans="1:14" x14ac:dyDescent="0.25">
      <c r="C11" s="92" t="s">
        <v>124</v>
      </c>
      <c r="D11" s="91">
        <v>131</v>
      </c>
      <c r="F11" s="114">
        <f>ROUND(D11/AVERAGE('Rate Assumptions'!$C$22:$C$24),1)</f>
        <v>3.7</v>
      </c>
      <c r="G11" s="92"/>
      <c r="H11" s="115">
        <f>ROUND(('Rate Calculations'!$C$55*('Rate Calculations'!F48)),0)</f>
        <v>4532</v>
      </c>
      <c r="J11" s="152">
        <f>ROUND((1-'Rate Calculations'!$C$55)*('Rate Calculations'!F$48/'Rate Assumptions'!$C22),0)</f>
        <v>150</v>
      </c>
      <c r="K11" s="29">
        <f>ROUND((1-'Rate Calculations'!$C$55)*('Rate Calculations'!F$48/'Rate Assumptions'!$C23),0)</f>
        <v>158</v>
      </c>
      <c r="L11" s="115">
        <f>ROUND((1-'Rate Calculations'!$C$55)*('Rate Calculations'!F$48/'Rate Assumptions'!$C24),0)</f>
        <v>168</v>
      </c>
    </row>
    <row r="12" spans="1:14" x14ac:dyDescent="0.25">
      <c r="C12" s="92" t="s">
        <v>125</v>
      </c>
      <c r="D12" s="91">
        <v>86</v>
      </c>
      <c r="F12" s="114">
        <f>ROUND(D12/AVERAGE('Rate Assumptions'!$C$22:$C$24),1)</f>
        <v>2.5</v>
      </c>
      <c r="G12" s="92"/>
      <c r="H12" s="115">
        <f>ROUND(('Rate Calculations'!$C$55*('Rate Calculations'!G48)),0)</f>
        <v>4183</v>
      </c>
      <c r="J12" s="152">
        <f>ROUND((1-'Rate Calculations'!$C$55)*('Rate Calculations'!G$48/'Rate Assumptions'!$C22),0)</f>
        <v>138</v>
      </c>
      <c r="K12" s="29">
        <f>ROUND((1-'Rate Calculations'!$C$55)*('Rate Calculations'!G$48/'Rate Assumptions'!$C23),0)</f>
        <v>146</v>
      </c>
      <c r="L12" s="115">
        <f>ROUND((1-'Rate Calculations'!$C$55)*('Rate Calculations'!G$48/'Rate Assumptions'!$C24),0)</f>
        <v>155</v>
      </c>
    </row>
    <row r="13" spans="1:14" x14ac:dyDescent="0.25">
      <c r="C13" s="92" t="s">
        <v>127</v>
      </c>
      <c r="D13" s="91">
        <v>65</v>
      </c>
      <c r="F13" s="114">
        <f>ROUND(D13/AVERAGE('Rate Assumptions'!$C$22:$C$24),1)</f>
        <v>1.9</v>
      </c>
      <c r="G13" s="92"/>
      <c r="H13" s="115">
        <f>ROUND(('Rate Calculations'!$C$55*('Rate Calculations'!H48)),0)</f>
        <v>4225</v>
      </c>
      <c r="J13" s="152">
        <f>ROUND((1-'Rate Calculations'!$C$55)*('Rate Calculations'!H$48/'Rate Assumptions'!$C22),0)</f>
        <v>140</v>
      </c>
      <c r="K13" s="29">
        <f>ROUND((1-'Rate Calculations'!$C$55)*('Rate Calculations'!H$48/'Rate Assumptions'!$C23),0)</f>
        <v>148</v>
      </c>
      <c r="L13" s="115">
        <f>ROUND((1-'Rate Calculations'!$C$55)*('Rate Calculations'!H$48/'Rate Assumptions'!$C24),0)</f>
        <v>156</v>
      </c>
    </row>
    <row r="14" spans="1:14" ht="15.75" thickBot="1" x14ac:dyDescent="0.3">
      <c r="C14" s="92" t="s">
        <v>126</v>
      </c>
      <c r="D14" s="91">
        <v>130</v>
      </c>
      <c r="F14" s="144">
        <f>ROUND(D14/AVERAGE('Rate Assumptions'!$C$22:$C$24),1)</f>
        <v>3.7</v>
      </c>
      <c r="G14" s="116"/>
      <c r="H14" s="117">
        <f>ROUND(('Rate Calculations'!$C$55*('Rate Calculations'!I48)),0)</f>
        <v>4479</v>
      </c>
      <c r="J14" s="153">
        <f>ROUND((1-'Rate Calculations'!$C$55)*('Rate Calculations'!I$48/'Rate Assumptions'!$C22),0)</f>
        <v>148</v>
      </c>
      <c r="K14" s="121">
        <f>ROUND((1-'Rate Calculations'!$C$55)*('Rate Calculations'!I$48/'Rate Assumptions'!$C23),0)</f>
        <v>156</v>
      </c>
      <c r="L14" s="117">
        <f>ROUND((1-'Rate Calculations'!$C$55)*('Rate Calculations'!I$48/'Rate Assumptions'!$C24),0)</f>
        <v>166</v>
      </c>
    </row>
    <row r="15" spans="1:14" x14ac:dyDescent="0.25">
      <c r="C15" s="92"/>
    </row>
    <row r="16" spans="1:14" x14ac:dyDescent="0.25">
      <c r="C16" s="7" t="s">
        <v>149</v>
      </c>
      <c r="D16" s="119">
        <f>SUM(D8:D15)</f>
        <v>752</v>
      </c>
    </row>
    <row r="17" spans="3:13" x14ac:dyDescent="0.25">
      <c r="C17" s="7"/>
      <c r="D17" s="119"/>
    </row>
    <row r="18" spans="3:13" x14ac:dyDescent="0.25">
      <c r="C18" s="7"/>
      <c r="D18" s="119"/>
    </row>
    <row r="20" spans="3:13" x14ac:dyDescent="0.25">
      <c r="C20" s="6" t="s">
        <v>166</v>
      </c>
      <c r="D20" s="108" t="s">
        <v>144</v>
      </c>
    </row>
    <row r="21" spans="3:13" ht="38.25" customHeight="1" x14ac:dyDescent="0.25">
      <c r="C21" s="118" t="s">
        <v>188</v>
      </c>
      <c r="D21" s="29">
        <f>'Rate Assumptions'!C56</f>
        <v>0</v>
      </c>
    </row>
    <row r="22" spans="3:13" ht="16.5" thickBot="1" x14ac:dyDescent="0.3">
      <c r="J22" s="178" t="s">
        <v>210</v>
      </c>
      <c r="K22" s="178"/>
      <c r="L22" s="178"/>
    </row>
    <row r="23" spans="3:13" ht="30" x14ac:dyDescent="0.25">
      <c r="C23" s="175" t="s">
        <v>162</v>
      </c>
      <c r="D23" s="176"/>
      <c r="E23" s="176"/>
      <c r="F23" s="177"/>
      <c r="J23" s="165" t="s">
        <v>211</v>
      </c>
      <c r="K23" s="154" t="s">
        <v>212</v>
      </c>
      <c r="L23" s="157" t="s">
        <v>214</v>
      </c>
    </row>
    <row r="24" spans="3:13" ht="30" x14ac:dyDescent="0.25">
      <c r="C24" s="127" t="s">
        <v>57</v>
      </c>
      <c r="D24" s="29">
        <f>'Rate Assumptions'!C48</f>
        <v>60</v>
      </c>
      <c r="F24" s="8"/>
      <c r="J24" s="160" t="s">
        <v>141</v>
      </c>
      <c r="K24" s="161">
        <f>'Rate Assumptions'!C22</f>
        <v>37</v>
      </c>
      <c r="L24" s="158">
        <v>0</v>
      </c>
    </row>
    <row r="25" spans="3:13" ht="30" x14ac:dyDescent="0.25">
      <c r="C25" s="9"/>
      <c r="D25" s="29"/>
      <c r="F25" s="8"/>
      <c r="J25" s="162" t="s">
        <v>142</v>
      </c>
      <c r="K25" s="161">
        <f>'Rate Assumptions'!C23</f>
        <v>35</v>
      </c>
      <c r="L25" s="158">
        <v>0</v>
      </c>
    </row>
    <row r="26" spans="3:13" ht="30.75" thickBot="1" x14ac:dyDescent="0.3">
      <c r="C26" s="9"/>
      <c r="D26" s="29"/>
      <c r="F26" s="8"/>
      <c r="J26" s="163" t="s">
        <v>143</v>
      </c>
      <c r="K26" s="164">
        <f>'Rate Assumptions'!C24</f>
        <v>33</v>
      </c>
      <c r="L26" s="159">
        <v>0</v>
      </c>
    </row>
    <row r="27" spans="3:13" ht="15.75" thickBot="1" x14ac:dyDescent="0.3">
      <c r="C27" s="124" t="s">
        <v>163</v>
      </c>
      <c r="D27" s="29"/>
      <c r="F27" s="8"/>
      <c r="L27" s="155">
        <f>ROUND(40-((40/K24*L24)+(40/K25*L25)+(40/K26*L26)),0)</f>
        <v>40</v>
      </c>
      <c r="M27" s="156" t="s">
        <v>213</v>
      </c>
    </row>
    <row r="28" spans="3:13" ht="33" customHeight="1" x14ac:dyDescent="0.25">
      <c r="C28" s="127" t="s">
        <v>61</v>
      </c>
      <c r="D28" s="29">
        <v>350</v>
      </c>
      <c r="E28" s="166" t="s">
        <v>191</v>
      </c>
      <c r="F28" s="167"/>
    </row>
    <row r="29" spans="3:13" ht="30" x14ac:dyDescent="0.25">
      <c r="C29" s="127" t="s">
        <v>165</v>
      </c>
      <c r="D29" s="29">
        <f>'Rate Assumptions'!C49</f>
        <v>20</v>
      </c>
      <c r="F29" s="8"/>
    </row>
    <row r="30" spans="3:13" x14ac:dyDescent="0.25">
      <c r="C30" s="127"/>
      <c r="D30" s="29"/>
      <c r="F30" s="8"/>
    </row>
    <row r="31" spans="3:13" ht="30" x14ac:dyDescent="0.25">
      <c r="C31" s="127" t="s">
        <v>145</v>
      </c>
      <c r="D31" s="29">
        <v>60</v>
      </c>
      <c r="F31" s="8"/>
    </row>
    <row r="32" spans="3:13" x14ac:dyDescent="0.25">
      <c r="C32" s="9"/>
      <c r="F32" s="8"/>
    </row>
    <row r="33" spans="3:6" x14ac:dyDescent="0.25">
      <c r="C33" s="9"/>
      <c r="D33"/>
      <c r="F33" s="8"/>
    </row>
    <row r="34" spans="3:6" x14ac:dyDescent="0.25">
      <c r="C34" s="124" t="s">
        <v>164</v>
      </c>
      <c r="D34" s="29"/>
      <c r="E34" s="29"/>
      <c r="F34" s="8"/>
    </row>
    <row r="35" spans="3:6" ht="30" x14ac:dyDescent="0.25">
      <c r="C35" s="127" t="s">
        <v>159</v>
      </c>
      <c r="D35" s="29">
        <f>'Rate Assumptions'!C53</f>
        <v>45</v>
      </c>
      <c r="E35" s="29"/>
      <c r="F35" s="8"/>
    </row>
    <row r="36" spans="3:6" ht="30" x14ac:dyDescent="0.25">
      <c r="C36" s="127" t="s">
        <v>64</v>
      </c>
      <c r="D36" s="29">
        <f>'Rate Assumptions'!C57</f>
        <v>35</v>
      </c>
      <c r="E36" s="29"/>
      <c r="F36" s="8"/>
    </row>
    <row r="37" spans="3:6" x14ac:dyDescent="0.25">
      <c r="C37" s="127" t="s">
        <v>147</v>
      </c>
      <c r="D37" s="29">
        <v>750</v>
      </c>
      <c r="E37" s="29"/>
      <c r="F37" s="8"/>
    </row>
    <row r="38" spans="3:6" ht="15.75" thickBot="1" x14ac:dyDescent="0.3">
      <c r="C38" s="128"/>
      <c r="D38" s="121"/>
      <c r="E38" s="12"/>
      <c r="F38" s="13"/>
    </row>
  </sheetData>
  <mergeCells count="7">
    <mergeCell ref="E28:F28"/>
    <mergeCell ref="A1:N1"/>
    <mergeCell ref="A2:N2"/>
    <mergeCell ref="F6:H6"/>
    <mergeCell ref="J6:L6"/>
    <mergeCell ref="C23:F23"/>
    <mergeCell ref="J22:L22"/>
  </mergeCells>
  <conditionalFormatting sqref="L27">
    <cfRule type="cellIs" dxfId="0" priority="1" operator="lessThan">
      <formula>0</formula>
    </cfRule>
  </conditionalFormatting>
  <hyperlinks>
    <hyperlink ref="D20" r:id="rId1" display="https://ofm.wa.gov/accounting/administrative-accounting-resources/travel" xr:uid="{3477A8C3-B6AE-448F-B1CC-36BE8128FB8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4488F-3776-426B-939B-55F600DBC05D}">
  <dimension ref="A1:V72"/>
  <sheetViews>
    <sheetView topLeftCell="A5" zoomScale="85" zoomScaleNormal="85" workbookViewId="0">
      <selection activeCell="G34" sqref="G34"/>
    </sheetView>
  </sheetViews>
  <sheetFormatPr defaultRowHeight="15" x14ac:dyDescent="0.25"/>
  <cols>
    <col min="2" max="2" width="52.28515625" customWidth="1"/>
    <col min="3" max="3" width="19.5703125" customWidth="1"/>
    <col min="4" max="4" width="31.42578125" customWidth="1"/>
    <col min="5" max="5" width="18.42578125" customWidth="1"/>
    <col min="6" max="6" width="20.85546875" customWidth="1"/>
    <col min="7" max="7" width="28.85546875" customWidth="1"/>
    <col min="8" max="8" width="21.5703125" customWidth="1"/>
    <col min="9" max="9" width="16" customWidth="1"/>
    <col min="10" max="10" width="17.85546875" customWidth="1"/>
    <col min="11" max="11" width="12" bestFit="1" customWidth="1"/>
    <col min="13" max="13" width="5.85546875" customWidth="1"/>
  </cols>
  <sheetData>
    <row r="1" spans="1:9" ht="20.25" thickBot="1" x14ac:dyDescent="0.35">
      <c r="A1" s="179" t="s">
        <v>132</v>
      </c>
      <c r="B1" s="179"/>
      <c r="C1" s="179"/>
      <c r="D1" s="179"/>
      <c r="E1" s="179"/>
      <c r="F1" s="179"/>
    </row>
    <row r="2" spans="1:9" ht="18.600000000000001" customHeight="1" thickTop="1" x14ac:dyDescent="0.3">
      <c r="A2" s="180"/>
      <c r="B2" s="180"/>
      <c r="C2" s="180"/>
      <c r="D2" s="180"/>
      <c r="E2" s="180"/>
      <c r="F2" s="180"/>
      <c r="G2" s="18"/>
    </row>
    <row r="3" spans="1:9" ht="14.45" customHeight="1" x14ac:dyDescent="0.25">
      <c r="A3" s="181" t="s">
        <v>29</v>
      </c>
      <c r="B3" s="182"/>
      <c r="C3" s="182"/>
      <c r="D3" s="182"/>
      <c r="E3" s="182"/>
      <c r="F3" s="183"/>
      <c r="G3" s="19"/>
    </row>
    <row r="4" spans="1:9" ht="14.45" customHeight="1" x14ac:dyDescent="0.25">
      <c r="G4" s="19"/>
    </row>
    <row r="5" spans="1:9" ht="14.45" customHeight="1" x14ac:dyDescent="0.25">
      <c r="B5" s="187" t="s">
        <v>30</v>
      </c>
      <c r="C5" s="187"/>
      <c r="D5" s="1"/>
      <c r="E5" s="1"/>
      <c r="F5" s="1"/>
      <c r="G5" s="1"/>
      <c r="I5" s="32"/>
    </row>
    <row r="6" spans="1:9" ht="15.95" customHeight="1" x14ac:dyDescent="0.25">
      <c r="B6" s="75" t="s">
        <v>31</v>
      </c>
      <c r="C6" s="71" t="s">
        <v>28</v>
      </c>
      <c r="I6" s="31"/>
    </row>
    <row r="7" spans="1:9" ht="15" customHeight="1" x14ac:dyDescent="0.25">
      <c r="B7" s="72" t="s">
        <v>32</v>
      </c>
      <c r="C7" s="73">
        <v>0.2</v>
      </c>
      <c r="I7" s="31"/>
    </row>
    <row r="8" spans="1:9" ht="15" customHeight="1" x14ac:dyDescent="0.25">
      <c r="B8" s="72" t="s">
        <v>16</v>
      </c>
      <c r="C8" s="73">
        <v>0.17</v>
      </c>
    </row>
    <row r="9" spans="1:9" ht="15" customHeight="1" x14ac:dyDescent="0.25">
      <c r="B9" s="72" t="s">
        <v>17</v>
      </c>
      <c r="C9" s="74">
        <v>1.4999999999999999E-2</v>
      </c>
      <c r="I9" s="6"/>
    </row>
    <row r="10" spans="1:9" ht="15" customHeight="1" x14ac:dyDescent="0.25">
      <c r="C10" s="20"/>
    </row>
    <row r="11" spans="1:9" ht="15" customHeight="1" x14ac:dyDescent="0.25">
      <c r="B11" s="184" t="s">
        <v>33</v>
      </c>
      <c r="C11" s="185"/>
      <c r="D11" s="186"/>
      <c r="G11" s="31"/>
      <c r="H11" s="31"/>
      <c r="I11" s="31"/>
    </row>
    <row r="12" spans="1:9" ht="15" customHeight="1" x14ac:dyDescent="0.25">
      <c r="B12" s="76" t="s">
        <v>34</v>
      </c>
      <c r="C12" s="71" t="s">
        <v>35</v>
      </c>
      <c r="D12" s="72"/>
      <c r="G12" s="31"/>
      <c r="H12" s="31"/>
      <c r="I12" s="31"/>
    </row>
    <row r="13" spans="1:9" ht="15" customHeight="1" x14ac:dyDescent="0.25">
      <c r="B13" s="72" t="s">
        <v>36</v>
      </c>
      <c r="C13" s="77">
        <v>120</v>
      </c>
      <c r="D13" s="78">
        <f>C13/(2080)</f>
        <v>5.7692307692307696E-2</v>
      </c>
      <c r="G13" s="31"/>
      <c r="H13" s="31"/>
      <c r="I13" s="31"/>
    </row>
    <row r="14" spans="1:9" ht="15" customHeight="1" x14ac:dyDescent="0.25">
      <c r="B14" s="72" t="s">
        <v>37</v>
      </c>
      <c r="C14" s="77">
        <v>88</v>
      </c>
      <c r="D14" s="78">
        <f>C14/(2080)</f>
        <v>4.230769230769231E-2</v>
      </c>
    </row>
    <row r="15" spans="1:9" ht="15" customHeight="1" x14ac:dyDescent="0.25">
      <c r="B15" s="72" t="s">
        <v>130</v>
      </c>
      <c r="C15" s="77">
        <f>'Service Assumption'!D10</f>
        <v>22.25</v>
      </c>
      <c r="D15" s="78">
        <f>C15/(2080)</f>
        <v>1.0697115384615385E-2</v>
      </c>
      <c r="G15" s="19"/>
    </row>
    <row r="16" spans="1:9" ht="15" customHeight="1" x14ac:dyDescent="0.25">
      <c r="B16" s="72" t="s">
        <v>38</v>
      </c>
      <c r="C16" s="79">
        <f>3300+900</f>
        <v>4200</v>
      </c>
      <c r="D16" s="78"/>
      <c r="G16" s="19"/>
    </row>
    <row r="17" spans="2:22" ht="15" customHeight="1" x14ac:dyDescent="0.25">
      <c r="B17" s="72" t="s">
        <v>39</v>
      </c>
      <c r="C17" s="79">
        <v>500</v>
      </c>
      <c r="D17" s="72"/>
      <c r="G17" s="19"/>
    </row>
    <row r="18" spans="2:22" ht="15" customHeight="1" x14ac:dyDescent="0.25">
      <c r="C18" s="29"/>
      <c r="F18" s="6" t="s">
        <v>200</v>
      </c>
      <c r="G18" s="19"/>
    </row>
    <row r="19" spans="2:22" ht="15" customHeight="1" x14ac:dyDescent="0.25">
      <c r="B19" s="187" t="s">
        <v>40</v>
      </c>
      <c r="C19" s="187"/>
      <c r="D19" s="187"/>
      <c r="G19" s="19"/>
    </row>
    <row r="20" spans="2:22" ht="30" x14ac:dyDescent="0.25">
      <c r="B20" s="72"/>
      <c r="C20" s="85" t="s">
        <v>190</v>
      </c>
      <c r="D20" s="85" t="s">
        <v>41</v>
      </c>
      <c r="F20" s="188">
        <v>111025</v>
      </c>
      <c r="G20" s="151" t="s">
        <v>205</v>
      </c>
    </row>
    <row r="21" spans="2:22" x14ac:dyDescent="0.25">
      <c r="B21" s="80" t="s">
        <v>189</v>
      </c>
      <c r="C21" s="72"/>
      <c r="D21" s="86"/>
      <c r="F21" s="188"/>
      <c r="G21" s="151" t="s">
        <v>192</v>
      </c>
    </row>
    <row r="22" spans="2:22" x14ac:dyDescent="0.25">
      <c r="B22" s="81" t="s">
        <v>0</v>
      </c>
      <c r="C22" s="145">
        <v>37</v>
      </c>
      <c r="D22" s="87"/>
      <c r="F22" s="188"/>
      <c r="G22" s="151" t="s">
        <v>193</v>
      </c>
    </row>
    <row r="23" spans="2:22" x14ac:dyDescent="0.25">
      <c r="B23" s="81" t="s">
        <v>1</v>
      </c>
      <c r="C23" s="145">
        <v>35</v>
      </c>
      <c r="D23" s="86"/>
      <c r="F23" s="188"/>
      <c r="G23" s="151" t="s">
        <v>194</v>
      </c>
    </row>
    <row r="24" spans="2:22" x14ac:dyDescent="0.25">
      <c r="B24" s="81" t="s">
        <v>2</v>
      </c>
      <c r="C24" s="145">
        <v>33</v>
      </c>
      <c r="D24" s="86"/>
      <c r="F24" s="188"/>
      <c r="G24" s="151" t="s">
        <v>195</v>
      </c>
      <c r="H24" s="10"/>
    </row>
    <row r="25" spans="2:22" x14ac:dyDescent="0.25">
      <c r="B25" s="80" t="s">
        <v>6</v>
      </c>
      <c r="C25" s="145">
        <v>6</v>
      </c>
      <c r="D25" s="86"/>
      <c r="F25" s="188"/>
      <c r="G25" s="151" t="s">
        <v>196</v>
      </c>
      <c r="H25" s="10"/>
    </row>
    <row r="26" spans="2:22" x14ac:dyDescent="0.25">
      <c r="B26" s="80" t="s">
        <v>7</v>
      </c>
      <c r="C26" s="82">
        <v>6</v>
      </c>
      <c r="D26" s="86" t="s">
        <v>42</v>
      </c>
      <c r="F26" s="188"/>
      <c r="G26" s="151" t="s">
        <v>206</v>
      </c>
      <c r="H26" s="10"/>
    </row>
    <row r="27" spans="2:22" ht="30" x14ac:dyDescent="0.25">
      <c r="B27" s="80" t="s">
        <v>9</v>
      </c>
      <c r="C27" s="146">
        <v>0</v>
      </c>
      <c r="D27" s="86" t="s">
        <v>43</v>
      </c>
      <c r="F27" s="188"/>
      <c r="G27" s="151" t="s">
        <v>201</v>
      </c>
      <c r="H27" s="10"/>
    </row>
    <row r="28" spans="2:22" x14ac:dyDescent="0.25">
      <c r="B28" s="83" t="s">
        <v>8</v>
      </c>
      <c r="C28" s="84">
        <v>2.5</v>
      </c>
      <c r="D28" s="86" t="s">
        <v>44</v>
      </c>
    </row>
    <row r="29" spans="2:22" x14ac:dyDescent="0.25">
      <c r="B29" s="83" t="s">
        <v>10</v>
      </c>
      <c r="C29" s="147">
        <v>0</v>
      </c>
      <c r="D29" s="86" t="s">
        <v>45</v>
      </c>
    </row>
    <row r="31" spans="2:22" ht="16.5" thickBot="1" x14ac:dyDescent="0.3">
      <c r="B31" s="178" t="s">
        <v>204</v>
      </c>
      <c r="C31" s="178"/>
      <c r="D31" s="178"/>
      <c r="E31" s="17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2:22" x14ac:dyDescent="0.25">
      <c r="B32" s="38" t="s">
        <v>46</v>
      </c>
      <c r="C32" s="62">
        <v>29.62</v>
      </c>
      <c r="D32" s="39" t="s">
        <v>47</v>
      </c>
      <c r="H32" s="10"/>
    </row>
    <row r="33" spans="2:8" x14ac:dyDescent="0.25">
      <c r="B33" s="40" t="s">
        <v>19</v>
      </c>
      <c r="C33" s="68">
        <v>2.1</v>
      </c>
      <c r="D33" s="69" t="s">
        <v>48</v>
      </c>
      <c r="H33" s="2"/>
    </row>
    <row r="34" spans="2:8" x14ac:dyDescent="0.25">
      <c r="B34" s="40" t="s">
        <v>20</v>
      </c>
      <c r="C34" s="70">
        <v>53</v>
      </c>
      <c r="D34" s="69" t="s">
        <v>49</v>
      </c>
    </row>
    <row r="35" spans="2:8" x14ac:dyDescent="0.25">
      <c r="B35" s="40"/>
      <c r="C35" s="68"/>
      <c r="D35" s="69"/>
    </row>
    <row r="36" spans="2:8" x14ac:dyDescent="0.25">
      <c r="B36" s="40" t="s">
        <v>21</v>
      </c>
      <c r="C36" s="41">
        <v>86</v>
      </c>
      <c r="D36" s="16" t="s">
        <v>49</v>
      </c>
      <c r="H36" s="10"/>
    </row>
    <row r="37" spans="2:8" x14ac:dyDescent="0.25">
      <c r="B37" s="36" t="s">
        <v>22</v>
      </c>
      <c r="C37" s="41">
        <v>210</v>
      </c>
      <c r="D37" s="42" t="s">
        <v>50</v>
      </c>
    </row>
    <row r="38" spans="2:8" x14ac:dyDescent="0.25">
      <c r="B38" s="43" t="s">
        <v>23</v>
      </c>
      <c r="C38" s="41">
        <v>86</v>
      </c>
      <c r="D38" s="16" t="s">
        <v>51</v>
      </c>
    </row>
    <row r="39" spans="2:8" x14ac:dyDescent="0.25">
      <c r="B39" s="44" t="s">
        <v>24</v>
      </c>
      <c r="C39" s="41">
        <v>55</v>
      </c>
      <c r="D39" s="16" t="s">
        <v>49</v>
      </c>
    </row>
    <row r="40" spans="2:8" x14ac:dyDescent="0.25">
      <c r="B40" s="44" t="s">
        <v>182</v>
      </c>
      <c r="C40" s="41">
        <f>342/12</f>
        <v>28.5</v>
      </c>
      <c r="D40" s="16" t="s">
        <v>52</v>
      </c>
    </row>
    <row r="41" spans="2:8" x14ac:dyDescent="0.25">
      <c r="B41" s="44"/>
      <c r="C41" s="41"/>
      <c r="D41" s="16"/>
    </row>
    <row r="42" spans="2:8" x14ac:dyDescent="0.25">
      <c r="B42" s="44" t="s">
        <v>26</v>
      </c>
      <c r="C42" s="45">
        <f>C15/2080</f>
        <v>1.0697115384615385E-2</v>
      </c>
      <c r="D42" s="16" t="s">
        <v>53</v>
      </c>
    </row>
    <row r="43" spans="2:8" x14ac:dyDescent="0.25">
      <c r="B43" s="36" t="s">
        <v>27</v>
      </c>
      <c r="C43" s="41">
        <v>250</v>
      </c>
      <c r="D43" s="16" t="s">
        <v>54</v>
      </c>
    </row>
    <row r="44" spans="2:8" x14ac:dyDescent="0.25">
      <c r="B44" s="57"/>
      <c r="C44" s="58"/>
      <c r="D44" s="59"/>
      <c r="G44" s="3"/>
      <c r="H44" s="3"/>
    </row>
    <row r="45" spans="2:8" ht="15.75" thickBot="1" x14ac:dyDescent="0.3">
      <c r="B45" s="37" t="s">
        <v>203</v>
      </c>
      <c r="C45" s="46">
        <v>0.05</v>
      </c>
      <c r="D45" s="47" t="s">
        <v>55</v>
      </c>
      <c r="F45" s="3"/>
      <c r="G45" s="3"/>
      <c r="H45" s="3"/>
    </row>
    <row r="46" spans="2:8" x14ac:dyDescent="0.25">
      <c r="B46" s="61"/>
      <c r="C46" s="53"/>
    </row>
    <row r="47" spans="2:8" ht="15.75" thickBot="1" x14ac:dyDescent="0.3">
      <c r="B47" s="7" t="s">
        <v>56</v>
      </c>
    </row>
    <row r="48" spans="2:8" ht="30" x14ac:dyDescent="0.25">
      <c r="B48" s="38" t="s">
        <v>57</v>
      </c>
      <c r="C48" s="148">
        <v>60</v>
      </c>
    </row>
    <row r="49" spans="2:6" ht="23.25" customHeight="1" x14ac:dyDescent="0.25">
      <c r="B49" s="64" t="s">
        <v>183</v>
      </c>
      <c r="C49" s="66">
        <v>20</v>
      </c>
    </row>
    <row r="50" spans="2:6" ht="22.5" customHeight="1" thickBot="1" x14ac:dyDescent="0.3">
      <c r="B50" s="54" t="s">
        <v>58</v>
      </c>
      <c r="C50" s="55">
        <v>60</v>
      </c>
    </row>
    <row r="51" spans="2:6" ht="17.25" customHeight="1" x14ac:dyDescent="0.25"/>
    <row r="52" spans="2:6" ht="22.5" customHeight="1" thickBot="1" x14ac:dyDescent="0.3">
      <c r="B52" s="7" t="s">
        <v>59</v>
      </c>
    </row>
    <row r="53" spans="2:6" ht="22.5" customHeight="1" x14ac:dyDescent="0.25">
      <c r="B53" s="35" t="s">
        <v>60</v>
      </c>
      <c r="C53" s="148">
        <v>45</v>
      </c>
    </row>
    <row r="54" spans="2:6" ht="22.5" customHeight="1" x14ac:dyDescent="0.25">
      <c r="B54" s="64" t="s">
        <v>61</v>
      </c>
      <c r="C54" s="66">
        <f>'[1]Assumption back up'!D24</f>
        <v>350</v>
      </c>
    </row>
    <row r="55" spans="2:6" ht="22.5" customHeight="1" x14ac:dyDescent="0.25">
      <c r="B55" s="64" t="s">
        <v>62</v>
      </c>
      <c r="C55" s="66">
        <v>750</v>
      </c>
      <c r="D55" s="56"/>
    </row>
    <row r="56" spans="2:6" ht="22.5" customHeight="1" x14ac:dyDescent="0.25">
      <c r="B56" s="64" t="s">
        <v>63</v>
      </c>
      <c r="C56" s="149">
        <v>0</v>
      </c>
    </row>
    <row r="57" spans="2:6" ht="22.5" customHeight="1" thickBot="1" x14ac:dyDescent="0.3">
      <c r="B57" s="37" t="s">
        <v>64</v>
      </c>
      <c r="C57" s="150">
        <v>35</v>
      </c>
    </row>
    <row r="58" spans="2:6" ht="30" customHeight="1" x14ac:dyDescent="0.25"/>
    <row r="59" spans="2:6" ht="30" customHeight="1" x14ac:dyDescent="0.25"/>
    <row r="60" spans="2:6" ht="22.5" customHeight="1" x14ac:dyDescent="0.25">
      <c r="B60" s="49"/>
      <c r="D60" s="3"/>
      <c r="E60" s="3"/>
    </row>
    <row r="61" spans="2:6" ht="22.5" customHeight="1" thickBot="1" x14ac:dyDescent="0.3">
      <c r="B61" s="37" t="s">
        <v>203</v>
      </c>
      <c r="C61" s="3"/>
      <c r="D61" s="3"/>
      <c r="E61" s="3"/>
      <c r="F61" s="3"/>
    </row>
    <row r="62" spans="2:6" ht="33" customHeight="1" x14ac:dyDescent="0.25">
      <c r="B62" s="88" t="s">
        <v>65</v>
      </c>
      <c r="C62" s="3"/>
      <c r="D62" s="3"/>
      <c r="E62" s="3"/>
      <c r="F62" s="3"/>
    </row>
    <row r="63" spans="2:6" ht="22.5" customHeight="1" x14ac:dyDescent="0.25">
      <c r="B63" s="60"/>
      <c r="C63" s="33"/>
      <c r="F63" s="3"/>
    </row>
    <row r="64" spans="2:6" ht="20.25" customHeight="1" x14ac:dyDescent="0.25"/>
    <row r="65" spans="2:2" ht="21.75" customHeight="1" x14ac:dyDescent="0.25"/>
    <row r="66" spans="2:2" ht="19.5" customHeight="1" x14ac:dyDescent="0.25"/>
    <row r="67" spans="2:2" ht="19.5" customHeight="1" x14ac:dyDescent="0.25"/>
    <row r="68" spans="2:2" ht="19.5" customHeight="1" x14ac:dyDescent="0.25"/>
    <row r="69" spans="2:2" ht="19.5" customHeight="1" x14ac:dyDescent="0.25"/>
    <row r="70" spans="2:2" ht="19.5" customHeight="1" x14ac:dyDescent="0.25"/>
    <row r="71" spans="2:2" ht="20.25" customHeight="1" x14ac:dyDescent="0.25"/>
    <row r="72" spans="2:2" ht="15" customHeight="1" x14ac:dyDescent="0.25">
      <c r="B72" s="48"/>
    </row>
  </sheetData>
  <mergeCells count="8">
    <mergeCell ref="B31:D31"/>
    <mergeCell ref="A1:F1"/>
    <mergeCell ref="A2:F2"/>
    <mergeCell ref="A3:F3"/>
    <mergeCell ref="B11:D11"/>
    <mergeCell ref="B5:C5"/>
    <mergeCell ref="B19:D19"/>
    <mergeCell ref="F20:F27"/>
  </mergeCells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096C5-88AB-4AFB-A60C-2B150411C2DE}">
  <dimension ref="B1:N103"/>
  <sheetViews>
    <sheetView topLeftCell="A27" zoomScale="85" zoomScaleNormal="85" workbookViewId="0">
      <selection activeCell="E20" sqref="E20"/>
    </sheetView>
  </sheetViews>
  <sheetFormatPr defaultRowHeight="15" x14ac:dyDescent="0.25"/>
  <cols>
    <col min="2" max="2" width="54.7109375" customWidth="1"/>
    <col min="3" max="3" width="13.85546875" customWidth="1"/>
    <col min="4" max="4" width="15.140625" customWidth="1"/>
    <col min="5" max="5" width="17.140625" customWidth="1"/>
    <col min="6" max="6" width="15.140625" customWidth="1"/>
    <col min="7" max="7" width="18.28515625" customWidth="1"/>
    <col min="8" max="8" width="15.140625" customWidth="1"/>
    <col min="9" max="9" width="16" customWidth="1"/>
    <col min="10" max="10" width="14.85546875" customWidth="1"/>
    <col min="11" max="11" width="12" bestFit="1" customWidth="1"/>
    <col min="12" max="12" width="13.85546875" customWidth="1"/>
    <col min="13" max="13" width="12.5703125" customWidth="1"/>
  </cols>
  <sheetData>
    <row r="1" spans="2:4" ht="14.45" customHeight="1" x14ac:dyDescent="0.25"/>
    <row r="2" spans="2:4" ht="14.45" customHeight="1" x14ac:dyDescent="0.25"/>
    <row r="3" spans="2:4" ht="14.45" customHeight="1" x14ac:dyDescent="0.25">
      <c r="B3" s="96" t="s">
        <v>129</v>
      </c>
      <c r="C3" s="97" t="s">
        <v>4</v>
      </c>
    </row>
    <row r="4" spans="2:4" ht="14.45" customHeight="1" x14ac:dyDescent="0.25">
      <c r="B4" s="49" t="s">
        <v>5</v>
      </c>
      <c r="C4" s="92">
        <v>1</v>
      </c>
      <c r="D4" s="14"/>
    </row>
    <row r="5" spans="2:4" ht="14.45" customHeight="1" x14ac:dyDescent="0.25">
      <c r="B5" s="49" t="s">
        <v>6</v>
      </c>
      <c r="C5" s="52">
        <f>ROUND($C$4/'Rate Assumptions'!C25,2)</f>
        <v>0.17</v>
      </c>
      <c r="D5" s="14"/>
    </row>
    <row r="6" spans="2:4" ht="14.45" customHeight="1" x14ac:dyDescent="0.25">
      <c r="B6" s="49" t="s">
        <v>7</v>
      </c>
      <c r="C6" s="52">
        <f>ROUND($C$5/'Rate Assumptions'!C26,2)</f>
        <v>0.03</v>
      </c>
      <c r="D6" s="14"/>
    </row>
    <row r="7" spans="2:4" ht="14.45" customHeight="1" x14ac:dyDescent="0.25">
      <c r="B7" s="49" t="s">
        <v>8</v>
      </c>
      <c r="C7" s="52">
        <f>ROUND($C$6/'Rate Assumptions'!C28,2)</f>
        <v>0.01</v>
      </c>
      <c r="D7" s="14"/>
    </row>
    <row r="8" spans="2:4" ht="14.45" customHeight="1" x14ac:dyDescent="0.25">
      <c r="B8" s="49" t="s">
        <v>9</v>
      </c>
      <c r="C8" s="52">
        <f>'Rate Assumptions'!C27</f>
        <v>0</v>
      </c>
      <c r="D8" s="14"/>
    </row>
    <row r="9" spans="2:4" ht="14.45" customHeight="1" x14ac:dyDescent="0.25">
      <c r="B9" s="49" t="s">
        <v>10</v>
      </c>
      <c r="C9" s="52">
        <f>IFERROR(ROUND(SUM(C4:C7)/'Rate Assumptions'!C29,2),0)</f>
        <v>0</v>
      </c>
      <c r="D9" s="14"/>
    </row>
    <row r="10" spans="2:4" ht="14.45" customHeight="1" x14ac:dyDescent="0.25">
      <c r="B10" s="49"/>
      <c r="C10" s="52"/>
    </row>
    <row r="11" spans="2:4" ht="14.45" customHeight="1" x14ac:dyDescent="0.25">
      <c r="B11" s="49"/>
      <c r="C11" s="52"/>
    </row>
    <row r="12" spans="2:4" ht="14.45" customHeight="1" x14ac:dyDescent="0.25">
      <c r="B12" s="103" t="s">
        <v>202</v>
      </c>
      <c r="C12" s="103" t="s">
        <v>12</v>
      </c>
    </row>
    <row r="13" spans="2:4" ht="14.45" customHeight="1" x14ac:dyDescent="0.25">
      <c r="B13" t="s">
        <v>18</v>
      </c>
      <c r="C13" s="5">
        <f>SUM($C$4:$C$9)*'Rate Assumptions'!C32*100</f>
        <v>3584.0200000000004</v>
      </c>
    </row>
    <row r="14" spans="2:4" ht="14.45" customHeight="1" x14ac:dyDescent="0.25">
      <c r="B14" t="s">
        <v>19</v>
      </c>
      <c r="C14" s="5">
        <f>'Rate Assumptions'!C33*(100*SUM('Rate Calculations'!C4:C9))*12</f>
        <v>3049.2000000000003</v>
      </c>
    </row>
    <row r="15" spans="2:4" ht="14.45" customHeight="1" x14ac:dyDescent="0.25">
      <c r="B15" t="s">
        <v>20</v>
      </c>
      <c r="C15" s="5">
        <f>SUM(C4:C9)*'Rate Assumptions'!C34*12</f>
        <v>769.56</v>
      </c>
    </row>
    <row r="16" spans="2:4" ht="14.45" customHeight="1" x14ac:dyDescent="0.25">
      <c r="B16" t="s">
        <v>21</v>
      </c>
      <c r="C16" s="5">
        <f>SUM($C$4:$C$9)*'Rate Assumptions'!C36*12</f>
        <v>1248.72</v>
      </c>
    </row>
    <row r="17" spans="2:11" ht="14.45" customHeight="1" x14ac:dyDescent="0.25">
      <c r="B17" t="s">
        <v>22</v>
      </c>
      <c r="C17" s="5">
        <f>'Rate Assumptions'!C37*SUM('Rate Calculations'!C4:C9)</f>
        <v>254.1</v>
      </c>
    </row>
    <row r="18" spans="2:11" ht="14.45" customHeight="1" x14ac:dyDescent="0.25">
      <c r="B18" t="s">
        <v>23</v>
      </c>
      <c r="C18" s="5">
        <f>'Rate Assumptions'!C38*SUM('Rate Calculations'!C4:C9)*12</f>
        <v>1248.72</v>
      </c>
    </row>
    <row r="19" spans="2:11" ht="14.45" customHeight="1" x14ac:dyDescent="0.25">
      <c r="B19" t="s">
        <v>24</v>
      </c>
      <c r="C19" s="5">
        <f>'Rate Assumptions'!C39*SUM('Rate Calculations'!C4:C9)*12</f>
        <v>798.59999999999991</v>
      </c>
    </row>
    <row r="20" spans="2:11" ht="14.45" customHeight="1" x14ac:dyDescent="0.25">
      <c r="B20" t="s">
        <v>25</v>
      </c>
      <c r="C20" s="5">
        <f>'Rate Assumptions'!C40*12</f>
        <v>342</v>
      </c>
    </row>
    <row r="21" spans="2:11" ht="14.45" customHeight="1" x14ac:dyDescent="0.25">
      <c r="B21" t="s">
        <v>27</v>
      </c>
      <c r="C21" s="5">
        <f>'Rate Assumptions'!C43*COUNT(C4:C9)</f>
        <v>1500</v>
      </c>
      <c r="D21" s="5"/>
    </row>
    <row r="22" spans="2:11" ht="14.45" customHeight="1" thickBot="1" x14ac:dyDescent="0.3">
      <c r="B22" s="37" t="s">
        <v>203</v>
      </c>
      <c r="C22" s="5">
        <f>SUM(C26:C31)*'Rate Assumptions'!C45</f>
        <v>3307.2650187500003</v>
      </c>
    </row>
    <row r="23" spans="2:11" ht="14.45" customHeight="1" x14ac:dyDescent="0.25">
      <c r="B23" s="49"/>
      <c r="C23" s="52"/>
    </row>
    <row r="24" spans="2:11" ht="14.45" customHeight="1" x14ac:dyDescent="0.25"/>
    <row r="25" spans="2:11" ht="14.45" customHeight="1" x14ac:dyDescent="0.25">
      <c r="B25" s="96" t="s">
        <v>161</v>
      </c>
      <c r="C25" s="94" t="s">
        <v>121</v>
      </c>
      <c r="D25" s="94" t="s">
        <v>122</v>
      </c>
      <c r="E25" s="94" t="s">
        <v>123</v>
      </c>
      <c r="F25" s="94" t="s">
        <v>124</v>
      </c>
      <c r="G25" s="94" t="s">
        <v>125</v>
      </c>
      <c r="H25" s="94" t="s">
        <v>127</v>
      </c>
      <c r="I25" s="94" t="s">
        <v>126</v>
      </c>
    </row>
    <row r="26" spans="2:11" ht="14.45" customHeight="1" x14ac:dyDescent="0.25">
      <c r="B26" s="49" t="s">
        <v>160</v>
      </c>
      <c r="C26" s="90">
        <f>$C4*'Regionalized costs'!C16</f>
        <v>52900</v>
      </c>
      <c r="D26" s="90">
        <f>$C4*'Regionalized costs'!D16</f>
        <v>59100</v>
      </c>
      <c r="E26" s="90">
        <f>$C4*'Regionalized costs'!E16</f>
        <v>56300</v>
      </c>
      <c r="F26" s="90">
        <f>$C4*'Regionalized costs'!F16</f>
        <v>61900</v>
      </c>
      <c r="G26" s="90">
        <f>$C4*'Regionalized costs'!G16</f>
        <v>55300</v>
      </c>
      <c r="H26" s="90">
        <f>$C4*'Regionalized costs'!H16</f>
        <v>56100</v>
      </c>
      <c r="I26" s="90">
        <f>$C4*'Regionalized costs'!I16</f>
        <v>60900</v>
      </c>
      <c r="K26" s="14"/>
    </row>
    <row r="27" spans="2:11" ht="14.45" customHeight="1" x14ac:dyDescent="0.25">
      <c r="B27" s="49" t="s">
        <v>6</v>
      </c>
      <c r="C27" s="90">
        <f>$C5*'Regionalized costs'!C17</f>
        <v>10341.950000000001</v>
      </c>
      <c r="D27" s="90">
        <f>$C5*'Regionalized costs'!D17</f>
        <v>11554.050000000001</v>
      </c>
      <c r="E27" s="90">
        <f>$C5*'Regionalized costs'!E17</f>
        <v>11006.650000000001</v>
      </c>
      <c r="F27" s="90">
        <f>$C5*'Regionalized costs'!F17</f>
        <v>12101.45</v>
      </c>
      <c r="G27" s="90">
        <f>$C5*'Regionalized costs'!G17</f>
        <v>10811.150000000001</v>
      </c>
      <c r="H27" s="90">
        <f>$C5*'Regionalized costs'!H17</f>
        <v>10967.550000000001</v>
      </c>
      <c r="I27" s="90">
        <f>$C5*'Regionalized costs'!I17</f>
        <v>11905.95</v>
      </c>
      <c r="K27" s="14"/>
    </row>
    <row r="28" spans="2:11" ht="14.45" customHeight="1" x14ac:dyDescent="0.25">
      <c r="B28" s="49" t="s">
        <v>7</v>
      </c>
      <c r="C28" s="90">
        <f>$C6*'Regionalized costs'!C18</f>
        <v>2098.8074999999999</v>
      </c>
      <c r="D28" s="90">
        <f>$C6*'Regionalized costs'!D18</f>
        <v>2344.7925</v>
      </c>
      <c r="E28" s="90">
        <f>$C6*'Regionalized costs'!E18</f>
        <v>2233.7024999999999</v>
      </c>
      <c r="F28" s="90">
        <f>$C6*'Regionalized costs'!F18</f>
        <v>2455.8824999999997</v>
      </c>
      <c r="G28" s="90">
        <f>$C6*'Regionalized costs'!G18</f>
        <v>2194.0275000000001</v>
      </c>
      <c r="H28" s="90">
        <f>$C6*'Regionalized costs'!H18</f>
        <v>2225.7674999999999</v>
      </c>
      <c r="I28" s="90">
        <f>$C6*'Regionalized costs'!I18</f>
        <v>2416.2075</v>
      </c>
      <c r="K28" s="14"/>
    </row>
    <row r="29" spans="2:11" ht="14.45" customHeight="1" x14ac:dyDescent="0.25">
      <c r="B29" s="49" t="s">
        <v>8</v>
      </c>
      <c r="C29" s="90">
        <f>$C7*'Regionalized costs'!C19</f>
        <v>804.54287500000009</v>
      </c>
      <c r="D29" s="90">
        <f>$C7*'Regionalized costs'!D19</f>
        <v>898.83712500000001</v>
      </c>
      <c r="E29" s="90">
        <f>$C7*'Regionalized costs'!E19</f>
        <v>856.25262499999997</v>
      </c>
      <c r="F29" s="90">
        <f>$C7*'Regionalized costs'!F19</f>
        <v>941.42162500000006</v>
      </c>
      <c r="G29" s="90">
        <f>$C7*'Regionalized costs'!G19</f>
        <v>841.04387499999996</v>
      </c>
      <c r="H29" s="90">
        <f>$C7*'Regionalized costs'!H19</f>
        <v>853.21087499999999</v>
      </c>
      <c r="I29" s="90">
        <f>$C7*'Regionalized costs'!I19</f>
        <v>926.21287500000005</v>
      </c>
      <c r="J29" s="30"/>
      <c r="K29" s="14"/>
    </row>
    <row r="30" spans="2:11" ht="14.45" customHeight="1" x14ac:dyDescent="0.25">
      <c r="B30" s="49" t="s">
        <v>9</v>
      </c>
      <c r="C30" s="90">
        <f>$C8*'Regionalized costs'!C20</f>
        <v>0</v>
      </c>
      <c r="D30" s="90">
        <f>$C8*'Regionalized costs'!D20</f>
        <v>0</v>
      </c>
      <c r="E30" s="90">
        <f>$C8*'Regionalized costs'!E20</f>
        <v>0</v>
      </c>
      <c r="F30" s="90">
        <f>$C8*'Regionalized costs'!F20</f>
        <v>0</v>
      </c>
      <c r="G30" s="90">
        <f>$C8*'Regionalized costs'!G20</f>
        <v>0</v>
      </c>
      <c r="H30" s="90">
        <f>$C8*'Regionalized costs'!H20</f>
        <v>0</v>
      </c>
      <c r="I30" s="90">
        <f>$C8*'Regionalized costs'!I20</f>
        <v>0</v>
      </c>
      <c r="J30" s="30"/>
      <c r="K30" s="14"/>
    </row>
    <row r="31" spans="2:11" ht="14.45" customHeight="1" x14ac:dyDescent="0.25">
      <c r="B31" s="49" t="s">
        <v>10</v>
      </c>
      <c r="C31" s="90">
        <f>$C9*'Regionalized costs'!$D$55</f>
        <v>0</v>
      </c>
      <c r="D31" s="90">
        <f>$C9*'Regionalized costs'!$D$57</f>
        <v>0</v>
      </c>
      <c r="E31" s="90">
        <f>$C9*'Regionalized costs'!$D$59</f>
        <v>0</v>
      </c>
      <c r="F31" s="90">
        <f>$C9*'Regionalized costs'!$D$61</f>
        <v>0</v>
      </c>
      <c r="G31" s="90">
        <f>$C9*'Regionalized costs'!$D$63</f>
        <v>0</v>
      </c>
      <c r="H31" s="90">
        <f>$C9*'Regionalized costs'!$D$65</f>
        <v>0</v>
      </c>
      <c r="I31" s="90">
        <f>$C9*'Regionalized costs'!$D$67</f>
        <v>0</v>
      </c>
      <c r="J31" s="30"/>
      <c r="K31" s="14"/>
    </row>
    <row r="32" spans="2:11" ht="14.45" customHeight="1" x14ac:dyDescent="0.25">
      <c r="B32" s="111"/>
      <c r="C32" s="90"/>
      <c r="D32" s="52"/>
      <c r="J32" s="30"/>
      <c r="K32" s="107"/>
    </row>
    <row r="33" spans="2:14" ht="14.45" customHeight="1" x14ac:dyDescent="0.25">
      <c r="B33" s="98" t="s">
        <v>11</v>
      </c>
      <c r="C33" s="99"/>
      <c r="D33" s="100"/>
      <c r="E33" s="101"/>
      <c r="F33" s="101"/>
      <c r="G33" s="101"/>
      <c r="H33" s="101"/>
      <c r="I33" s="101"/>
      <c r="J33" s="30"/>
    </row>
    <row r="34" spans="2:14" ht="14.45" customHeight="1" x14ac:dyDescent="0.25">
      <c r="B34" s="49" t="s">
        <v>13</v>
      </c>
      <c r="C34" s="29">
        <f>SUM($C$4:C9)*'Rate Assumptions'!$C$16</f>
        <v>5082</v>
      </c>
      <c r="D34" s="29">
        <f>SUM($C$4:C9)*'Rate Assumptions'!$C$16</f>
        <v>5082</v>
      </c>
      <c r="E34" s="29">
        <f>SUM($C$4:$C$9)*'Rate Assumptions'!$C$16</f>
        <v>5082</v>
      </c>
      <c r="F34" s="29">
        <f>SUM($C$4:$C$9)*'Rate Assumptions'!$C$16</f>
        <v>5082</v>
      </c>
      <c r="G34" s="29">
        <f>SUM($C$4:$C$9)*'Rate Assumptions'!$C$16</f>
        <v>5082</v>
      </c>
      <c r="H34" s="29">
        <f>SUM($C$4:$C$9)*'Rate Assumptions'!$C$16</f>
        <v>5082</v>
      </c>
      <c r="I34" s="29">
        <f>SUM($C$4:$C$9)*'Rate Assumptions'!$C$16</f>
        <v>5082</v>
      </c>
      <c r="J34" s="30"/>
    </row>
    <row r="35" spans="2:14" ht="14.45" customHeight="1" x14ac:dyDescent="0.25">
      <c r="B35" s="49" t="s">
        <v>128</v>
      </c>
      <c r="C35" s="29">
        <f>(C26*SUM('Rate Assumptions'!$D$13:$D$14))+(C27*SUM('Rate Assumptions'!$D$13:$D$14))+(C28*SUM('Rate Assumptions'!$D$13:$D$14))+(C29*SUM('Rate Assumptions'!$D$13:$D$14))+(C30*SUM('Rate Assumptions'!$D$13:$D$14))+(C31*SUM('Rate Assumptions'!$D$13:$D$14))</f>
        <v>6614.5300374999997</v>
      </c>
      <c r="D35" s="29">
        <f>(D26*SUM('Rate Assumptions'!$D$13:$D$14))+(D27*SUM('Rate Assumptions'!$D$13:$D$14))+(D28*SUM('Rate Assumptions'!$D$13:$D$14))+(D29*SUM('Rate Assumptions'!$D$13:$D$14))+(D30*SUM('Rate Assumptions'!$D$13:$D$14))+(D31*SUM('Rate Assumptions'!$D$13:$D$14))</f>
        <v>7389.767962500001</v>
      </c>
      <c r="E35" s="29">
        <f>(E26*SUM('Rate Assumptions'!$D$13:$D$14))+(E27*SUM('Rate Assumptions'!$D$13:$D$14))+(E28*SUM('Rate Assumptions'!$D$13:$D$14))+(E29*SUM('Rate Assumptions'!$D$13:$D$14))+(E30*SUM('Rate Assumptions'!$D$13:$D$14))+(E31*SUM('Rate Assumptions'!$D$13:$D$14))</f>
        <v>7039.6605124999996</v>
      </c>
      <c r="F35" s="29">
        <f>(F26*SUM('Rate Assumptions'!$D$13:$D$14))+(F27*SUM('Rate Assumptions'!$D$13:$D$14))+(F28*SUM('Rate Assumptions'!$D$13:$D$14))+(F29*SUM('Rate Assumptions'!$D$13:$D$14))+(F30*SUM('Rate Assumptions'!$D$13:$D$14))+(F31*SUM('Rate Assumptions'!$D$13:$D$14))</f>
        <v>7739.8754125000005</v>
      </c>
      <c r="G35" s="29">
        <f>(G26*SUM('Rate Assumptions'!$D$13:$D$14))+(G27*SUM('Rate Assumptions'!$D$13:$D$14))+(G28*SUM('Rate Assumptions'!$D$13:$D$14))+(G29*SUM('Rate Assumptions'!$D$13:$D$14))+(G30*SUM('Rate Assumptions'!$D$13:$D$14))+(G31*SUM('Rate Assumptions'!$D$13:$D$14))</f>
        <v>6914.6221374999996</v>
      </c>
      <c r="H35" s="29">
        <f>(H26*SUM('Rate Assumptions'!$D$13:$D$14))+(H27*SUM('Rate Assumptions'!$D$13:$D$14))+(H28*SUM('Rate Assumptions'!$D$13:$D$14))+(H29*SUM('Rate Assumptions'!$D$13:$D$14))+(H30*SUM('Rate Assumptions'!$D$13:$D$14))+(H31*SUM('Rate Assumptions'!$D$13:$D$14))</f>
        <v>7014.6528375000007</v>
      </c>
      <c r="I35" s="29">
        <f>(I26*SUM('Rate Assumptions'!$D$13:$D$14))+(I27*SUM('Rate Assumptions'!$D$13:$D$14))+(I28*SUM('Rate Assumptions'!$D$13:$D$14))+(I29*SUM('Rate Assumptions'!$D$13:$D$14))+(I30*SUM('Rate Assumptions'!$D$13:$D$14))+(I31*SUM('Rate Assumptions'!$D$13:$D$14))</f>
        <v>7614.8370375000004</v>
      </c>
      <c r="J35" s="30"/>
    </row>
    <row r="36" spans="2:14" ht="14.45" customHeight="1" x14ac:dyDescent="0.25">
      <c r="B36" s="49" t="s">
        <v>14</v>
      </c>
      <c r="C36" s="29">
        <f>'Rate Assumptions'!$C$17*SUM('Rate Calculations'!$C$4:$C$9)</f>
        <v>605</v>
      </c>
      <c r="D36" s="29">
        <f>'Rate Assumptions'!$C$17*SUM('Rate Calculations'!$C$4:$C$9)</f>
        <v>605</v>
      </c>
      <c r="E36" s="29">
        <f>'Rate Assumptions'!$C$17*SUM('Rate Calculations'!$C$4:$C$9)</f>
        <v>605</v>
      </c>
      <c r="F36" s="29">
        <f>'Rate Assumptions'!$C$17*SUM('Rate Calculations'!$C$4:$C$9)</f>
        <v>605</v>
      </c>
      <c r="G36" s="29">
        <f>'Rate Assumptions'!$C$17*SUM('Rate Calculations'!$C$4:$C$9)</f>
        <v>605</v>
      </c>
      <c r="H36" s="29">
        <f>'Rate Assumptions'!$C$17*SUM('Rate Calculations'!$C$4:$C$9)</f>
        <v>605</v>
      </c>
      <c r="I36" s="29">
        <f>'Rate Assumptions'!$C$17*SUM('Rate Calculations'!$C$4:$C$9)</f>
        <v>605</v>
      </c>
      <c r="J36" s="30"/>
    </row>
    <row r="37" spans="2:14" s="95" customFormat="1" ht="16.5" customHeight="1" x14ac:dyDescent="0.25">
      <c r="B37"/>
      <c r="C37" s="4"/>
      <c r="D37"/>
      <c r="E37"/>
      <c r="F37"/>
      <c r="G37"/>
      <c r="H37"/>
      <c r="I37"/>
      <c r="J37"/>
      <c r="L37"/>
      <c r="M37"/>
      <c r="N37"/>
    </row>
    <row r="38" spans="2:14" s="95" customFormat="1" x14ac:dyDescent="0.25">
      <c r="B38" s="98" t="s">
        <v>30</v>
      </c>
      <c r="C38" s="101"/>
      <c r="D38" s="102"/>
      <c r="E38" s="102"/>
      <c r="F38" s="102"/>
      <c r="G38" s="102"/>
      <c r="H38" s="102"/>
      <c r="I38" s="102"/>
      <c r="J38" s="30"/>
      <c r="K38" s="123"/>
      <c r="L38"/>
      <c r="M38"/>
      <c r="N38"/>
    </row>
    <row r="39" spans="2:14" ht="14.45" customHeight="1" x14ac:dyDescent="0.25">
      <c r="B39" s="49" t="s">
        <v>15</v>
      </c>
      <c r="C39" s="29">
        <f>((0.05*SUM(C26:C31,C34:C36,$C$13:$C$22)*'Rate Assumptions'!$C$7))</f>
        <v>945.49015431250018</v>
      </c>
      <c r="D39" s="29">
        <f>((0.05*SUM(D26:D31,D34:D36,$C$13:$C$22)*'Rate Assumptions'!$C$7))</f>
        <v>1030.7663260625002</v>
      </c>
      <c r="E39" s="29">
        <f>((0.05*SUM(E26:E31,E34:E36,$C$13:$C$22)*'Rate Assumptions'!$C$7))</f>
        <v>992.25450656250018</v>
      </c>
      <c r="F39" s="29">
        <f>((0.05*SUM(F26:F31,F34:F36,$C$13:$C$22)*'Rate Assumptions'!$C$7))</f>
        <v>1069.2781455625002</v>
      </c>
      <c r="G39" s="29">
        <f>((0.05*SUM(G26:G31,G34:G36,$C$13:$C$22)*'Rate Assumptions'!$C$7))</f>
        <v>978.50028531250018</v>
      </c>
      <c r="H39" s="29">
        <f>((0.05*SUM(H26:H31,H34:H36,$C$13:$C$22)*'Rate Assumptions'!$C$7))</f>
        <v>989.5036623125003</v>
      </c>
      <c r="I39" s="29">
        <f>((0.05*SUM(I26:I31,I34:I36,$C$13:$C$22)*'Rate Assumptions'!$C$7))</f>
        <v>1055.5239243125002</v>
      </c>
      <c r="J39" s="30"/>
    </row>
    <row r="40" spans="2:14" ht="14.45" customHeight="1" x14ac:dyDescent="0.25">
      <c r="B40" s="49" t="s">
        <v>16</v>
      </c>
      <c r="C40" s="29">
        <f>SUM($C$26:$C$31)*'Rate Assumptions'!$C$8</f>
        <v>11244.701063750003</v>
      </c>
      <c r="D40" s="29">
        <f>SUM($C$26:$C$31)*'Rate Assumptions'!$C$8</f>
        <v>11244.701063750003</v>
      </c>
      <c r="E40" s="29">
        <f>SUM($C$26:$C$31)*'Rate Assumptions'!$C$8</f>
        <v>11244.701063750003</v>
      </c>
      <c r="F40" s="29">
        <f>SUM($C$26:$C$31)*'Rate Assumptions'!$C$8</f>
        <v>11244.701063750003</v>
      </c>
      <c r="G40" s="29">
        <f>SUM($C$26:$C$31)*'Rate Assumptions'!$C$8</f>
        <v>11244.701063750003</v>
      </c>
      <c r="H40" s="29">
        <f>SUM($C$26:$C$31)*'Rate Assumptions'!$C$8</f>
        <v>11244.701063750003</v>
      </c>
      <c r="I40" s="29">
        <f>SUM($C$26:$C$31)*'Rate Assumptions'!$C$8</f>
        <v>11244.701063750003</v>
      </c>
      <c r="J40" s="30"/>
    </row>
    <row r="41" spans="2:14" ht="14.45" customHeight="1" x14ac:dyDescent="0.25">
      <c r="B41" s="49" t="s">
        <v>17</v>
      </c>
      <c r="C41" s="29">
        <f>SUM(C26:C31,C34:C36,$C$13:$C$22)*'Rate Assumptions'!$C$9</f>
        <v>1418.23523146875</v>
      </c>
      <c r="D41" s="29">
        <f>SUM(D26:D31,D34:D36,$C$13:$C$22)*'Rate Assumptions'!$C$9</f>
        <v>1546.1494890937502</v>
      </c>
      <c r="E41" s="29">
        <f>SUM(E26:E31,E34:E36,$C$13:$C$22)*'Rate Assumptions'!$C$9</f>
        <v>1488.3817598437499</v>
      </c>
      <c r="F41" s="29">
        <f>SUM(F26:F31,F34:F36,$C$13:$C$22)*'Rate Assumptions'!$C$9</f>
        <v>1603.9172183437499</v>
      </c>
      <c r="G41" s="29">
        <f>SUM(G26:G31,G34:G36,$C$13:$C$22)*'Rate Assumptions'!$C$9</f>
        <v>1467.75042796875</v>
      </c>
      <c r="H41" s="29">
        <f>SUM(H26:H31,H34:H36,$C$13:$C$22)*'Rate Assumptions'!$C$9</f>
        <v>1484.2554934687503</v>
      </c>
      <c r="I41" s="29">
        <f>SUM(I26:I31,I34:I36,$C$13:$C$22)*'Rate Assumptions'!$C$9</f>
        <v>1583.28588646875</v>
      </c>
      <c r="J41" s="30"/>
    </row>
    <row r="42" spans="2:14" ht="14.45" customHeight="1" x14ac:dyDescent="0.25">
      <c r="G42" s="5"/>
      <c r="H42" s="5"/>
    </row>
    <row r="43" spans="2:14" ht="14.45" customHeight="1" x14ac:dyDescent="0.25">
      <c r="G43" s="5"/>
      <c r="H43" s="5"/>
    </row>
    <row r="44" spans="2:14" ht="14.45" customHeight="1" x14ac:dyDescent="0.25">
      <c r="D44" s="4"/>
      <c r="G44" s="5"/>
      <c r="H44" s="5"/>
    </row>
    <row r="45" spans="2:14" ht="14.45" customHeight="1" x14ac:dyDescent="0.25">
      <c r="D45" s="4"/>
      <c r="G45" s="5"/>
      <c r="H45" s="5"/>
    </row>
    <row r="46" spans="2:14" ht="14.45" customHeight="1" x14ac:dyDescent="0.25">
      <c r="B46" t="s">
        <v>131</v>
      </c>
      <c r="C46" s="126">
        <f t="shared" ref="C46:I46" si="0">SUM(C26:C31,C34:C36,C39:C41,$C$13:$C$22)</f>
        <v>108157.44188078126</v>
      </c>
      <c r="D46" s="126">
        <f t="shared" si="0"/>
        <v>116898.24948515627</v>
      </c>
      <c r="E46" s="126">
        <f t="shared" si="0"/>
        <v>112950.78798640626</v>
      </c>
      <c r="F46" s="126">
        <f t="shared" si="0"/>
        <v>120845.71098390625</v>
      </c>
      <c r="G46" s="126">
        <f t="shared" si="0"/>
        <v>111540.98030828127</v>
      </c>
      <c r="H46" s="126">
        <f t="shared" si="0"/>
        <v>112668.82645078129</v>
      </c>
      <c r="I46" s="126">
        <f t="shared" si="0"/>
        <v>119435.90330578125</v>
      </c>
    </row>
    <row r="47" spans="2:14" ht="14.45" customHeight="1" x14ac:dyDescent="0.25">
      <c r="C47" s="5"/>
      <c r="D47" s="5"/>
      <c r="E47" s="5"/>
      <c r="F47" s="5"/>
      <c r="G47" s="5"/>
      <c r="H47" s="5"/>
      <c r="I47" s="5"/>
      <c r="J47" s="5"/>
      <c r="K47" s="5"/>
    </row>
    <row r="48" spans="2:14" ht="14.45" customHeight="1" x14ac:dyDescent="0.25">
      <c r="B48" t="s">
        <v>133</v>
      </c>
      <c r="C48" s="106">
        <f t="shared" ref="C48:I48" si="1">C46/12</f>
        <v>9013.1201567317712</v>
      </c>
      <c r="D48" s="106">
        <f t="shared" si="1"/>
        <v>9741.5207904296894</v>
      </c>
      <c r="E48" s="106">
        <f t="shared" si="1"/>
        <v>9412.5656655338553</v>
      </c>
      <c r="F48" s="106">
        <f t="shared" si="1"/>
        <v>10070.47591532552</v>
      </c>
      <c r="G48" s="106">
        <f t="shared" si="1"/>
        <v>9295.0816923567727</v>
      </c>
      <c r="H48" s="106">
        <f t="shared" si="1"/>
        <v>9389.0688708984399</v>
      </c>
      <c r="I48" s="106">
        <f t="shared" si="1"/>
        <v>9952.9919421484374</v>
      </c>
      <c r="J48" s="5"/>
      <c r="K48" s="5"/>
    </row>
    <row r="49" spans="2:11" ht="14.45" customHeight="1" x14ac:dyDescent="0.25">
      <c r="C49" s="5"/>
      <c r="D49" s="5"/>
      <c r="E49" s="5"/>
      <c r="F49" s="5"/>
      <c r="G49" s="5"/>
      <c r="H49" s="5"/>
      <c r="I49" s="5"/>
      <c r="J49" s="5"/>
      <c r="K49" s="5"/>
    </row>
    <row r="50" spans="2:11" ht="14.45" customHeight="1" x14ac:dyDescent="0.25">
      <c r="B50" s="189" t="s">
        <v>41</v>
      </c>
      <c r="C50" s="190"/>
      <c r="D50" s="190"/>
      <c r="E50" s="190"/>
      <c r="F50" s="190"/>
      <c r="G50" s="190"/>
      <c r="H50" s="190"/>
      <c r="I50" s="190"/>
      <c r="J50" s="5"/>
      <c r="K50" s="5"/>
    </row>
    <row r="51" spans="2:11" ht="14.45" customHeight="1" x14ac:dyDescent="0.25"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2:11" ht="14.45" customHeight="1" x14ac:dyDescent="0.25">
      <c r="B52" s="5"/>
      <c r="C52" s="94" t="s">
        <v>121</v>
      </c>
      <c r="D52" s="94" t="s">
        <v>122</v>
      </c>
      <c r="E52" s="94" t="s">
        <v>123</v>
      </c>
      <c r="F52" s="94" t="s">
        <v>124</v>
      </c>
      <c r="G52" s="94" t="s">
        <v>125</v>
      </c>
      <c r="H52" s="94" t="s">
        <v>127</v>
      </c>
      <c r="I52" s="94" t="s">
        <v>126</v>
      </c>
      <c r="J52" s="5"/>
      <c r="K52" s="5"/>
    </row>
    <row r="53" spans="2:11" ht="14.45" customHeight="1" x14ac:dyDescent="0.25">
      <c r="B53" t="s">
        <v>186</v>
      </c>
      <c r="C53" s="107">
        <f>C26+C34+C35+C36</f>
        <v>65201.530037500001</v>
      </c>
      <c r="D53" s="107">
        <f t="shared" ref="D53:I53" si="2">D26+D34+D35+D36</f>
        <v>72176.767962500002</v>
      </c>
      <c r="E53" s="107">
        <f t="shared" si="2"/>
        <v>69026.660512500006</v>
      </c>
      <c r="F53" s="107">
        <f t="shared" si="2"/>
        <v>75326.875412499998</v>
      </c>
      <c r="G53" s="107">
        <f t="shared" si="2"/>
        <v>67901.622137500002</v>
      </c>
      <c r="H53" s="107">
        <f t="shared" si="2"/>
        <v>68801.652837500005</v>
      </c>
      <c r="I53" s="107">
        <f t="shared" si="2"/>
        <v>74201.837037499994</v>
      </c>
      <c r="J53" s="5"/>
      <c r="K53" s="5"/>
    </row>
    <row r="54" spans="2:11" ht="14.45" customHeight="1" thickBot="1" x14ac:dyDescent="0.3">
      <c r="B54" s="5"/>
      <c r="C54" s="5"/>
      <c r="D54" s="5"/>
      <c r="E54" s="5"/>
      <c r="F54" s="5"/>
      <c r="G54" s="5"/>
      <c r="H54" s="5"/>
      <c r="I54" s="5"/>
      <c r="K54" s="5"/>
    </row>
    <row r="55" spans="2:11" ht="33" customHeight="1" thickBot="1" x14ac:dyDescent="0.3">
      <c r="B55" s="129" t="s">
        <v>181</v>
      </c>
      <c r="C55" s="130">
        <v>0.45</v>
      </c>
      <c r="D55" s="5"/>
      <c r="E55" s="5"/>
      <c r="F55" s="5"/>
      <c r="G55" s="5"/>
      <c r="H55" s="5"/>
      <c r="I55" s="5"/>
      <c r="J55" s="5"/>
      <c r="K55" s="5"/>
    </row>
    <row r="56" spans="2:11" ht="14.45" customHeight="1" x14ac:dyDescent="0.25">
      <c r="G56" s="4"/>
      <c r="H56" s="4"/>
      <c r="J56" s="5"/>
      <c r="K56" s="5"/>
    </row>
    <row r="57" spans="2:11" ht="14.45" customHeight="1" x14ac:dyDescent="0.25">
      <c r="J57" s="5"/>
      <c r="K57" s="5"/>
    </row>
    <row r="58" spans="2:11" ht="14.45" customHeight="1" x14ac:dyDescent="0.25">
      <c r="J58" s="5"/>
      <c r="K58" s="5"/>
    </row>
    <row r="59" spans="2:11" ht="14.45" customHeight="1" x14ac:dyDescent="0.25">
      <c r="H59" s="6"/>
      <c r="I59" s="6"/>
      <c r="J59" s="5"/>
      <c r="K59" s="5"/>
    </row>
    <row r="60" spans="2:11" ht="14.45" customHeight="1" x14ac:dyDescent="0.25">
      <c r="B60" s="104"/>
      <c r="H60" s="29"/>
      <c r="I60" s="29"/>
      <c r="J60" s="5"/>
      <c r="K60" s="5"/>
    </row>
    <row r="61" spans="2:11" ht="14.45" customHeight="1" x14ac:dyDescent="0.25">
      <c r="H61" s="29"/>
      <c r="J61" s="5"/>
      <c r="K61" s="104"/>
    </row>
    <row r="62" spans="2:11" ht="14.45" customHeight="1" x14ac:dyDescent="0.25">
      <c r="H62" s="29"/>
      <c r="I62" s="29"/>
      <c r="J62" s="5"/>
      <c r="K62" s="49"/>
    </row>
    <row r="63" spans="2:11" ht="14.45" customHeight="1" x14ac:dyDescent="0.25">
      <c r="H63" s="29"/>
      <c r="I63" s="29"/>
      <c r="J63" s="5"/>
      <c r="K63" s="105"/>
    </row>
    <row r="64" spans="2:11" ht="14.45" customHeight="1" x14ac:dyDescent="0.25">
      <c r="J64" s="5"/>
      <c r="K64" s="105"/>
    </row>
    <row r="65" spans="2:3" ht="15" customHeight="1" x14ac:dyDescent="0.25">
      <c r="B65" s="7"/>
    </row>
    <row r="66" spans="2:3" ht="15" customHeight="1" x14ac:dyDescent="0.25"/>
    <row r="67" spans="2:3" ht="15" customHeight="1" x14ac:dyDescent="0.25"/>
    <row r="68" spans="2:3" ht="15" customHeight="1" x14ac:dyDescent="0.25"/>
    <row r="69" spans="2:3" ht="15" customHeight="1" x14ac:dyDescent="0.25"/>
    <row r="70" spans="2:3" ht="14.45" customHeight="1" x14ac:dyDescent="0.25"/>
    <row r="71" spans="2:3" ht="15.95" customHeight="1" x14ac:dyDescent="0.25"/>
    <row r="72" spans="2:3" ht="15" customHeight="1" x14ac:dyDescent="0.25"/>
    <row r="73" spans="2:3" ht="15" customHeight="1" x14ac:dyDescent="0.25"/>
    <row r="74" spans="2:3" ht="15" customHeight="1" x14ac:dyDescent="0.25"/>
    <row r="75" spans="2:3" ht="15" customHeight="1" x14ac:dyDescent="0.25"/>
    <row r="76" spans="2:3" ht="15" customHeight="1" x14ac:dyDescent="0.25">
      <c r="B76" s="6"/>
    </row>
    <row r="77" spans="2:3" ht="15" customHeight="1" x14ac:dyDescent="0.25">
      <c r="B77" s="65"/>
      <c r="C77" s="30"/>
    </row>
    <row r="78" spans="2:3" ht="15" customHeight="1" x14ac:dyDescent="0.25">
      <c r="B78" s="65"/>
      <c r="C78" s="30"/>
    </row>
    <row r="79" spans="2:3" ht="15" customHeight="1" x14ac:dyDescent="0.25">
      <c r="B79" s="65"/>
      <c r="C79" s="30"/>
    </row>
    <row r="80" spans="2:3" ht="15" customHeight="1" x14ac:dyDescent="0.25"/>
    <row r="81" spans="2:2" ht="15" customHeight="1" x14ac:dyDescent="0.25">
      <c r="B81" s="6"/>
    </row>
    <row r="82" spans="2:2" ht="15" customHeight="1" x14ac:dyDescent="0.25">
      <c r="B82" s="65"/>
    </row>
    <row r="83" spans="2:2" ht="15" customHeight="1" x14ac:dyDescent="0.25"/>
    <row r="84" spans="2:2" x14ac:dyDescent="0.25">
      <c r="B84" s="6"/>
    </row>
    <row r="103" ht="14.45" customHeight="1" x14ac:dyDescent="0.25"/>
  </sheetData>
  <mergeCells count="1">
    <mergeCell ref="B50:I50"/>
  </mergeCells>
  <phoneticPr fontId="24" type="noConversion"/>
  <pageMargins left="0.7" right="0.7" top="0.75" bottom="0.75" header="0.3" footer="0.3"/>
  <pageSetup orientation="portrait" horizontalDpi="90" verticalDpi="90" r:id="rId1"/>
  <ignoredErrors>
    <ignoredError sqref="C27:I30 D26:I26" calculatedColumn="1"/>
  </ignoredErrors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27018-2338-4EA3-9E7C-AEAE24361326}">
  <dimension ref="A1:F24"/>
  <sheetViews>
    <sheetView zoomScale="115" zoomScaleNormal="115" workbookViewId="0">
      <selection activeCell="E12" sqref="E12"/>
    </sheetView>
  </sheetViews>
  <sheetFormatPr defaultRowHeight="15" x14ac:dyDescent="0.25"/>
  <cols>
    <col min="3" max="3" width="98.140625" customWidth="1"/>
    <col min="4" max="4" width="12" customWidth="1"/>
    <col min="5" max="5" width="19.28515625" customWidth="1"/>
    <col min="6" max="6" width="12.85546875" customWidth="1"/>
  </cols>
  <sheetData>
    <row r="1" spans="1:6" ht="20.25" thickBot="1" x14ac:dyDescent="0.35">
      <c r="A1" s="179" t="s">
        <v>207</v>
      </c>
      <c r="B1" s="179"/>
      <c r="C1" s="179"/>
      <c r="D1" s="179"/>
      <c r="E1" s="179"/>
      <c r="F1" s="179"/>
    </row>
    <row r="2" spans="1:6" ht="15.75" thickTop="1" x14ac:dyDescent="0.25"/>
    <row r="3" spans="1:6" x14ac:dyDescent="0.25">
      <c r="C3" s="6" t="s">
        <v>66</v>
      </c>
      <c r="D3" t="s">
        <v>67</v>
      </c>
    </row>
    <row r="4" spans="1:6" x14ac:dyDescent="0.25">
      <c r="C4" s="63" t="s">
        <v>68</v>
      </c>
      <c r="D4">
        <v>6</v>
      </c>
    </row>
    <row r="5" spans="1:6" x14ac:dyDescent="0.25">
      <c r="C5" s="63" t="s">
        <v>69</v>
      </c>
      <c r="D5">
        <v>10</v>
      </c>
    </row>
    <row r="6" spans="1:6" x14ac:dyDescent="0.25">
      <c r="C6" s="63" t="s">
        <v>70</v>
      </c>
      <c r="D6">
        <v>2.25</v>
      </c>
    </row>
    <row r="7" spans="1:6" x14ac:dyDescent="0.25">
      <c r="C7" s="63" t="s">
        <v>71</v>
      </c>
      <c r="D7">
        <v>1.5</v>
      </c>
    </row>
    <row r="8" spans="1:6" x14ac:dyDescent="0.25">
      <c r="C8" s="63" t="s">
        <v>72</v>
      </c>
      <c r="D8">
        <v>1</v>
      </c>
    </row>
    <row r="9" spans="1:6" x14ac:dyDescent="0.25">
      <c r="C9" s="63" t="s">
        <v>73</v>
      </c>
      <c r="D9">
        <v>1.5</v>
      </c>
    </row>
    <row r="10" spans="1:6" x14ac:dyDescent="0.25">
      <c r="C10" t="s">
        <v>74</v>
      </c>
      <c r="D10">
        <f>SUM(D4:D9)</f>
        <v>22.25</v>
      </c>
    </row>
    <row r="13" spans="1:6" x14ac:dyDescent="0.25">
      <c r="C13" s="6" t="s">
        <v>75</v>
      </c>
      <c r="D13" t="s">
        <v>76</v>
      </c>
    </row>
    <row r="14" spans="1:6" x14ac:dyDescent="0.25">
      <c r="C14" t="s">
        <v>77</v>
      </c>
      <c r="D14" s="30">
        <v>60</v>
      </c>
    </row>
    <row r="15" spans="1:6" x14ac:dyDescent="0.25">
      <c r="C15" t="s">
        <v>78</v>
      </c>
      <c r="D15" t="s">
        <v>79</v>
      </c>
    </row>
    <row r="16" spans="1:6" x14ac:dyDescent="0.25">
      <c r="C16" t="s">
        <v>80</v>
      </c>
      <c r="D16" t="s">
        <v>79</v>
      </c>
    </row>
    <row r="20" spans="3:6" x14ac:dyDescent="0.25">
      <c r="C20" s="6" t="s">
        <v>81</v>
      </c>
      <c r="D20" t="s">
        <v>82</v>
      </c>
      <c r="E20" t="s">
        <v>83</v>
      </c>
      <c r="F20" t="s">
        <v>84</v>
      </c>
    </row>
    <row r="21" spans="3:6" x14ac:dyDescent="0.25">
      <c r="C21" s="49" t="s">
        <v>85</v>
      </c>
      <c r="D21" s="30">
        <f>80*2.5</f>
        <v>200</v>
      </c>
      <c r="E21" s="89" t="s">
        <v>86</v>
      </c>
      <c r="F21" s="89" t="s">
        <v>87</v>
      </c>
    </row>
    <row r="22" spans="3:6" ht="30" x14ac:dyDescent="0.25">
      <c r="C22" s="49" t="s">
        <v>88</v>
      </c>
      <c r="E22" s="91" t="s">
        <v>89</v>
      </c>
      <c r="F22" s="91"/>
    </row>
    <row r="23" spans="3:6" x14ac:dyDescent="0.25">
      <c r="C23" s="49" t="s">
        <v>90</v>
      </c>
      <c r="D23" s="30">
        <f>10*15</f>
        <v>150</v>
      </c>
    </row>
    <row r="24" spans="3:6" x14ac:dyDescent="0.25">
      <c r="C24" s="6" t="s">
        <v>74</v>
      </c>
      <c r="D24" s="67">
        <f>SUM(D21:D23)</f>
        <v>350</v>
      </c>
    </row>
  </sheetData>
  <mergeCells count="1">
    <mergeCell ref="A1:F1"/>
  </mergeCells>
  <hyperlinks>
    <hyperlink ref="E21" r:id="rId1" display="https://www.peerspace.com/s/?viewport_bbox=[47.751711514879595,-122.55664122119138,47.47397662398048,-122.12748777880857]&amp;map_pref=true&amp;p=1&amp;space_type=conference-room,classroom&amp;location=seattle--wa--united-states&amp;a=meeting" xr:uid="{21999AB1-5B68-4BD3-9065-434D509B332E}"/>
    <hyperlink ref="F21" r:id="rId2" display="Giggster.com Reference" xr:uid="{42A29695-8F2D-4502-B06E-789E47F8C5EC}"/>
  </hyperlinks>
  <pageMargins left="0.7" right="0.7" top="0.75" bottom="0.75" header="0.3" footer="0.3"/>
  <pageSetup orientation="portrait" horizontalDpi="90" verticalDpi="90" r:id="rId3"/>
  <tableParts count="3">
    <tablePart r:id="rId4"/>
    <tablePart r:id="rId5"/>
    <tablePart r:id="rId6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AED94-E824-4D15-9683-7D42E04812A1}">
  <dimension ref="B1:AF79"/>
  <sheetViews>
    <sheetView topLeftCell="A48" zoomScale="115" zoomScaleNormal="115" workbookViewId="0">
      <selection activeCell="F57" sqref="F57"/>
    </sheetView>
  </sheetViews>
  <sheetFormatPr defaultRowHeight="15" x14ac:dyDescent="0.25"/>
  <cols>
    <col min="2" max="2" width="36.7109375" customWidth="1"/>
    <col min="3" max="3" width="29" customWidth="1"/>
    <col min="4" max="4" width="26.42578125" customWidth="1"/>
    <col min="5" max="5" width="14.5703125" customWidth="1"/>
    <col min="6" max="6" width="18.85546875" customWidth="1"/>
    <col min="7" max="7" width="15.28515625" customWidth="1"/>
    <col min="8" max="8" width="19" customWidth="1"/>
    <col min="9" max="19" width="16.42578125" customWidth="1"/>
  </cols>
  <sheetData>
    <row r="1" spans="2:32" ht="20.25" thickBot="1" x14ac:dyDescent="0.35">
      <c r="B1" s="179" t="s">
        <v>3</v>
      </c>
      <c r="C1" s="179"/>
      <c r="D1" s="179"/>
      <c r="E1" s="179"/>
      <c r="F1" s="179"/>
      <c r="G1" s="179"/>
    </row>
    <row r="2" spans="2:32" ht="15.75" thickTop="1" x14ac:dyDescent="0.25"/>
    <row r="3" spans="2:32" s="26" customFormat="1" ht="30" x14ac:dyDescent="0.25">
      <c r="B3" s="21" t="s">
        <v>91</v>
      </c>
      <c r="C3" s="21" t="s">
        <v>92</v>
      </c>
      <c r="D3" s="21" t="s">
        <v>93</v>
      </c>
      <c r="E3" s="22"/>
      <c r="F3" s="23" t="s">
        <v>94</v>
      </c>
      <c r="G3" s="131" t="s">
        <v>95</v>
      </c>
      <c r="H3" s="27" t="s">
        <v>168</v>
      </c>
      <c r="I3" s="91" t="s">
        <v>180</v>
      </c>
      <c r="J3"/>
      <c r="K3"/>
      <c r="L3"/>
      <c r="M3"/>
      <c r="N3"/>
      <c r="O3"/>
      <c r="P3"/>
      <c r="Q3"/>
      <c r="R3"/>
      <c r="S3"/>
      <c r="AF3" s="24"/>
    </row>
    <row r="4" spans="2:32" ht="45" x14ac:dyDescent="0.25">
      <c r="B4" t="s">
        <v>96</v>
      </c>
      <c r="C4" s="3" t="s">
        <v>187</v>
      </c>
      <c r="D4" t="s">
        <v>97</v>
      </c>
      <c r="F4" s="28" t="s">
        <v>98</v>
      </c>
      <c r="G4" s="50" t="s">
        <v>99</v>
      </c>
      <c r="H4" s="122">
        <v>0.5</v>
      </c>
      <c r="I4" s="51">
        <v>58400</v>
      </c>
      <c r="AF4" s="24"/>
    </row>
    <row r="5" spans="2:32" x14ac:dyDescent="0.25">
      <c r="B5" t="s">
        <v>100</v>
      </c>
      <c r="C5" t="s">
        <v>101</v>
      </c>
      <c r="D5" t="s">
        <v>102</v>
      </c>
      <c r="H5" s="92" t="s">
        <v>167</v>
      </c>
      <c r="I5" s="51">
        <f>I4*0.15+I4</f>
        <v>67160</v>
      </c>
      <c r="AF5" s="24"/>
    </row>
    <row r="6" spans="2:32" x14ac:dyDescent="0.25">
      <c r="B6" t="s">
        <v>103</v>
      </c>
      <c r="C6" t="s">
        <v>101</v>
      </c>
      <c r="D6" t="s">
        <v>102</v>
      </c>
      <c r="H6" s="92" t="s">
        <v>167</v>
      </c>
      <c r="I6" s="51">
        <f>I5*0.15+I5</f>
        <v>77234</v>
      </c>
      <c r="AF6" s="25"/>
    </row>
    <row r="7" spans="2:32" x14ac:dyDescent="0.25">
      <c r="B7" t="s">
        <v>104</v>
      </c>
      <c r="C7" t="s">
        <v>101</v>
      </c>
      <c r="D7" t="s">
        <v>102</v>
      </c>
      <c r="H7" s="92" t="s">
        <v>167</v>
      </c>
      <c r="I7" s="51">
        <f>I6*0.15+I6</f>
        <v>88819.1</v>
      </c>
      <c r="AF7" s="25"/>
    </row>
    <row r="8" spans="2:32" ht="45" customHeight="1" x14ac:dyDescent="0.25">
      <c r="B8" t="s">
        <v>105</v>
      </c>
      <c r="C8" t="s">
        <v>101</v>
      </c>
      <c r="F8" t="s">
        <v>178</v>
      </c>
      <c r="G8" s="3" t="s">
        <v>179</v>
      </c>
      <c r="H8" s="122">
        <v>0.5</v>
      </c>
      <c r="I8" s="51">
        <f>E32</f>
        <v>50900</v>
      </c>
      <c r="AF8" s="25"/>
    </row>
    <row r="9" spans="2:32" x14ac:dyDescent="0.25">
      <c r="C9" s="3"/>
      <c r="AF9" s="25"/>
    </row>
    <row r="10" spans="2:32" ht="15" customHeight="1" x14ac:dyDescent="0.25">
      <c r="C10" s="3"/>
      <c r="AF10" s="25"/>
    </row>
    <row r="11" spans="2:32" ht="15" customHeight="1" x14ac:dyDescent="0.25">
      <c r="C11" s="3"/>
    </row>
    <row r="12" spans="2:32" ht="15.75" thickBot="1" x14ac:dyDescent="0.3">
      <c r="C12" s="3"/>
    </row>
    <row r="13" spans="2:32" x14ac:dyDescent="0.25">
      <c r="B13" s="175" t="s">
        <v>208</v>
      </c>
      <c r="C13" s="176"/>
      <c r="D13" s="176"/>
      <c r="E13" s="176"/>
      <c r="F13" s="176"/>
      <c r="G13" s="176"/>
      <c r="H13" s="176"/>
      <c r="I13" s="177"/>
    </row>
    <row r="14" spans="2:32" x14ac:dyDescent="0.25">
      <c r="B14" s="9"/>
      <c r="C14" s="4"/>
      <c r="D14" s="4"/>
      <c r="E14" s="4"/>
      <c r="I14" s="8"/>
    </row>
    <row r="15" spans="2:32" x14ac:dyDescent="0.25">
      <c r="B15" s="9"/>
      <c r="C15" s="92" t="s">
        <v>121</v>
      </c>
      <c r="D15" s="92" t="s">
        <v>122</v>
      </c>
      <c r="E15" s="92" t="s">
        <v>123</v>
      </c>
      <c r="F15" s="92" t="s">
        <v>124</v>
      </c>
      <c r="G15" s="92" t="s">
        <v>125</v>
      </c>
      <c r="H15" s="92" t="s">
        <v>139</v>
      </c>
      <c r="I15" s="138" t="s">
        <v>138</v>
      </c>
    </row>
    <row r="16" spans="2:32" x14ac:dyDescent="0.25">
      <c r="B16" s="9" t="s">
        <v>137</v>
      </c>
      <c r="C16" s="29">
        <f>D55</f>
        <v>52900</v>
      </c>
      <c r="D16" s="29">
        <f>D57</f>
        <v>59100</v>
      </c>
      <c r="E16" s="29">
        <f>D59</f>
        <v>56300</v>
      </c>
      <c r="F16" s="29">
        <f>D61</f>
        <v>61900</v>
      </c>
      <c r="G16" s="29">
        <f>D63</f>
        <v>55300</v>
      </c>
      <c r="H16" s="29">
        <f>D65</f>
        <v>56100</v>
      </c>
      <c r="I16" s="115">
        <f>D67</f>
        <v>60900</v>
      </c>
    </row>
    <row r="17" spans="2:9" x14ac:dyDescent="0.25">
      <c r="B17" s="9" t="s">
        <v>100</v>
      </c>
      <c r="C17" s="29">
        <f>C16*0.15+C16</f>
        <v>60835</v>
      </c>
      <c r="D17" s="29">
        <f t="shared" ref="D17:I19" si="0">D16*0.15+D16</f>
        <v>67965</v>
      </c>
      <c r="E17" s="29">
        <f t="shared" si="0"/>
        <v>64745</v>
      </c>
      <c r="F17" s="29">
        <f t="shared" si="0"/>
        <v>71185</v>
      </c>
      <c r="G17" s="29">
        <f t="shared" si="0"/>
        <v>63595</v>
      </c>
      <c r="H17" s="29">
        <f t="shared" si="0"/>
        <v>64515</v>
      </c>
      <c r="I17" s="115">
        <f t="shared" si="0"/>
        <v>70035</v>
      </c>
    </row>
    <row r="18" spans="2:9" x14ac:dyDescent="0.25">
      <c r="B18" s="9" t="s">
        <v>135</v>
      </c>
      <c r="C18" s="29">
        <f t="shared" ref="C18:C19" si="1">C17*0.15+C17</f>
        <v>69960.25</v>
      </c>
      <c r="D18" s="29">
        <f t="shared" si="0"/>
        <v>78159.75</v>
      </c>
      <c r="E18" s="29">
        <f t="shared" si="0"/>
        <v>74456.75</v>
      </c>
      <c r="F18" s="29">
        <f t="shared" si="0"/>
        <v>81862.75</v>
      </c>
      <c r="G18" s="29">
        <f t="shared" si="0"/>
        <v>73134.25</v>
      </c>
      <c r="H18" s="29">
        <f t="shared" si="0"/>
        <v>74192.25</v>
      </c>
      <c r="I18" s="115">
        <f t="shared" si="0"/>
        <v>80540.25</v>
      </c>
    </row>
    <row r="19" spans="2:9" x14ac:dyDescent="0.25">
      <c r="B19" s="9" t="s">
        <v>136</v>
      </c>
      <c r="C19" s="29">
        <f t="shared" si="1"/>
        <v>80454.287500000006</v>
      </c>
      <c r="D19" s="29">
        <f t="shared" si="0"/>
        <v>89883.712499999994</v>
      </c>
      <c r="E19" s="29">
        <f t="shared" si="0"/>
        <v>85625.262499999997</v>
      </c>
      <c r="F19" s="29">
        <f t="shared" si="0"/>
        <v>94142.162500000006</v>
      </c>
      <c r="G19" s="29">
        <f t="shared" si="0"/>
        <v>84104.387499999997</v>
      </c>
      <c r="H19" s="29">
        <f t="shared" si="0"/>
        <v>85321.087499999994</v>
      </c>
      <c r="I19" s="115">
        <f t="shared" si="0"/>
        <v>92621.287500000006</v>
      </c>
    </row>
    <row r="20" spans="2:9" ht="15.75" thickBot="1" x14ac:dyDescent="0.3">
      <c r="B20" s="11" t="s">
        <v>9</v>
      </c>
      <c r="C20" s="121">
        <f>C18</f>
        <v>69960.25</v>
      </c>
      <c r="D20" s="121">
        <f t="shared" ref="D20:I20" si="2">D18</f>
        <v>78159.75</v>
      </c>
      <c r="E20" s="121">
        <f t="shared" si="2"/>
        <v>74456.75</v>
      </c>
      <c r="F20" s="121">
        <f t="shared" si="2"/>
        <v>81862.75</v>
      </c>
      <c r="G20" s="121">
        <f t="shared" si="2"/>
        <v>73134.25</v>
      </c>
      <c r="H20" s="121">
        <f t="shared" si="2"/>
        <v>74192.25</v>
      </c>
      <c r="I20" s="117">
        <f t="shared" si="2"/>
        <v>80540.25</v>
      </c>
    </row>
    <row r="21" spans="2:9" x14ac:dyDescent="0.25">
      <c r="C21" s="3"/>
    </row>
    <row r="22" spans="2:9" x14ac:dyDescent="0.25">
      <c r="C22" s="3"/>
    </row>
    <row r="23" spans="2:9" x14ac:dyDescent="0.25">
      <c r="C23" s="3"/>
    </row>
    <row r="24" spans="2:9" x14ac:dyDescent="0.25">
      <c r="C24" s="3"/>
    </row>
    <row r="25" spans="2:9" x14ac:dyDescent="0.25">
      <c r="C25" s="3"/>
    </row>
    <row r="26" spans="2:9" ht="15.75" thickBot="1" x14ac:dyDescent="0.3">
      <c r="C26" s="3"/>
    </row>
    <row r="27" spans="2:9" x14ac:dyDescent="0.25">
      <c r="B27" s="175" t="s">
        <v>176</v>
      </c>
      <c r="C27" s="176"/>
      <c r="D27" s="176"/>
      <c r="E27" s="176"/>
      <c r="F27" s="137"/>
    </row>
    <row r="28" spans="2:9" ht="15" customHeight="1" x14ac:dyDescent="0.25">
      <c r="B28" s="9"/>
      <c r="C28" s="191" t="s">
        <v>177</v>
      </c>
      <c r="D28" s="50"/>
      <c r="E28" s="192" t="s">
        <v>106</v>
      </c>
      <c r="F28" s="193"/>
    </row>
    <row r="29" spans="2:9" ht="29.25" customHeight="1" x14ac:dyDescent="0.25">
      <c r="B29" s="9"/>
      <c r="C29" s="191"/>
      <c r="E29" s="192"/>
      <c r="F29" s="193"/>
    </row>
    <row r="30" spans="2:9" x14ac:dyDescent="0.25">
      <c r="B30" s="9"/>
      <c r="C30" s="91" t="s">
        <v>148</v>
      </c>
      <c r="F30" s="8"/>
    </row>
    <row r="31" spans="2:9" x14ac:dyDescent="0.25">
      <c r="B31" s="132" t="s">
        <v>107</v>
      </c>
      <c r="C31" s="133">
        <v>0.5</v>
      </c>
      <c r="E31" s="133">
        <v>0.5</v>
      </c>
      <c r="F31" s="8"/>
    </row>
    <row r="32" spans="2:9" x14ac:dyDescent="0.25">
      <c r="B32" s="134" t="s">
        <v>108</v>
      </c>
      <c r="C32" s="51">
        <v>58400</v>
      </c>
      <c r="E32" s="51">
        <v>50900</v>
      </c>
      <c r="F32" s="8"/>
    </row>
    <row r="33" spans="2:6" x14ac:dyDescent="0.25">
      <c r="B33" s="134" t="s">
        <v>109</v>
      </c>
      <c r="C33" s="51">
        <v>56300</v>
      </c>
      <c r="E33" s="51">
        <v>50100</v>
      </c>
      <c r="F33" s="135"/>
    </row>
    <row r="34" spans="2:6" x14ac:dyDescent="0.25">
      <c r="B34" s="134" t="s">
        <v>110</v>
      </c>
      <c r="C34" s="51">
        <v>56000</v>
      </c>
      <c r="E34" s="51">
        <v>48300</v>
      </c>
      <c r="F34" s="8"/>
    </row>
    <row r="35" spans="2:6" x14ac:dyDescent="0.25">
      <c r="B35" s="134" t="s">
        <v>111</v>
      </c>
      <c r="C35" s="51">
        <v>61900</v>
      </c>
      <c r="E35" s="51">
        <v>53600</v>
      </c>
      <c r="F35" s="8"/>
    </row>
    <row r="36" spans="2:6" x14ac:dyDescent="0.25">
      <c r="B36" s="134" t="s">
        <v>112</v>
      </c>
      <c r="C36" s="51">
        <v>55300</v>
      </c>
      <c r="E36" s="51">
        <v>47900</v>
      </c>
      <c r="F36" s="8"/>
    </row>
    <row r="37" spans="2:6" x14ac:dyDescent="0.25">
      <c r="B37" s="134" t="s">
        <v>113</v>
      </c>
      <c r="C37" s="51">
        <v>56100</v>
      </c>
      <c r="E37" s="51">
        <v>50000</v>
      </c>
      <c r="F37" s="8"/>
    </row>
    <row r="38" spans="2:6" x14ac:dyDescent="0.25">
      <c r="B38" s="134" t="s">
        <v>114</v>
      </c>
      <c r="C38" s="51">
        <v>60900</v>
      </c>
      <c r="E38" s="51">
        <v>50500</v>
      </c>
      <c r="F38" s="8"/>
    </row>
    <row r="39" spans="2:6" x14ac:dyDescent="0.25">
      <c r="B39" s="134" t="s">
        <v>115</v>
      </c>
      <c r="C39" s="51">
        <v>55000</v>
      </c>
      <c r="E39" s="51">
        <v>49100</v>
      </c>
      <c r="F39" s="8"/>
    </row>
    <row r="40" spans="2:6" x14ac:dyDescent="0.25">
      <c r="B40" s="134" t="s">
        <v>116</v>
      </c>
      <c r="C40" s="51">
        <v>60700</v>
      </c>
      <c r="E40" s="51">
        <v>50500</v>
      </c>
      <c r="F40" s="8"/>
    </row>
    <row r="41" spans="2:6" x14ac:dyDescent="0.25">
      <c r="B41" s="134" t="s">
        <v>117</v>
      </c>
      <c r="C41" s="51">
        <v>54600</v>
      </c>
      <c r="E41" s="51">
        <v>49800</v>
      </c>
      <c r="F41" s="8"/>
    </row>
    <row r="42" spans="2:6" x14ac:dyDescent="0.25">
      <c r="B42" s="134" t="s">
        <v>118</v>
      </c>
      <c r="C42" s="51">
        <v>55700</v>
      </c>
      <c r="E42" s="51">
        <v>46600</v>
      </c>
      <c r="F42" s="8"/>
    </row>
    <row r="43" spans="2:6" x14ac:dyDescent="0.25">
      <c r="B43" s="134" t="s">
        <v>119</v>
      </c>
      <c r="C43" s="51">
        <v>59100</v>
      </c>
      <c r="E43" s="51">
        <v>50500</v>
      </c>
      <c r="F43" s="8"/>
    </row>
    <row r="44" spans="2:6" x14ac:dyDescent="0.25">
      <c r="B44" s="134" t="s">
        <v>120</v>
      </c>
      <c r="C44" s="51">
        <v>52900</v>
      </c>
      <c r="E44" s="51">
        <v>48000</v>
      </c>
      <c r="F44" s="8"/>
    </row>
    <row r="45" spans="2:6" x14ac:dyDescent="0.25">
      <c r="B45" s="136" t="s">
        <v>170</v>
      </c>
      <c r="F45" s="8"/>
    </row>
    <row r="46" spans="2:6" x14ac:dyDescent="0.25">
      <c r="B46" s="9" t="s">
        <v>171</v>
      </c>
      <c r="F46" s="8"/>
    </row>
    <row r="47" spans="2:6" ht="31.5" customHeight="1" x14ac:dyDescent="0.25">
      <c r="B47" s="194" t="s">
        <v>172</v>
      </c>
      <c r="C47" s="166"/>
      <c r="D47" s="166"/>
      <c r="E47" s="166"/>
      <c r="F47" s="167"/>
    </row>
    <row r="48" spans="2:6" ht="15.75" thickBot="1" x14ac:dyDescent="0.3">
      <c r="B48" s="11" t="s">
        <v>173</v>
      </c>
      <c r="C48" s="12"/>
      <c r="D48" s="12"/>
      <c r="E48" s="12"/>
      <c r="F48" s="13"/>
    </row>
    <row r="52" spans="2:5" ht="15.75" thickBot="1" x14ac:dyDescent="0.3"/>
    <row r="53" spans="2:5" x14ac:dyDescent="0.25">
      <c r="B53" s="175" t="s">
        <v>169</v>
      </c>
      <c r="C53" s="176"/>
      <c r="D53" s="177"/>
    </row>
    <row r="54" spans="2:5" x14ac:dyDescent="0.25">
      <c r="B54" s="9" t="s">
        <v>156</v>
      </c>
      <c r="D54" s="138"/>
    </row>
    <row r="55" spans="2:5" x14ac:dyDescent="0.25">
      <c r="B55" s="139" t="s">
        <v>151</v>
      </c>
      <c r="C55" t="s">
        <v>121</v>
      </c>
      <c r="D55" s="135">
        <f>C44</f>
        <v>52900</v>
      </c>
    </row>
    <row r="56" spans="2:5" x14ac:dyDescent="0.25">
      <c r="B56" s="139"/>
      <c r="D56" s="138"/>
    </row>
    <row r="57" spans="2:5" x14ac:dyDescent="0.25">
      <c r="B57" s="139" t="s">
        <v>152</v>
      </c>
      <c r="C57" t="s">
        <v>122</v>
      </c>
      <c r="D57" s="135">
        <f>C43</f>
        <v>59100</v>
      </c>
    </row>
    <row r="58" spans="2:5" x14ac:dyDescent="0.25">
      <c r="B58" s="139"/>
      <c r="D58" s="138"/>
    </row>
    <row r="59" spans="2:5" x14ac:dyDescent="0.25">
      <c r="B59" s="139" t="s">
        <v>153</v>
      </c>
      <c r="C59" t="s">
        <v>123</v>
      </c>
      <c r="D59" s="135">
        <f>C33</f>
        <v>56300</v>
      </c>
    </row>
    <row r="60" spans="2:5" x14ac:dyDescent="0.25">
      <c r="B60" s="139"/>
      <c r="D60" s="138"/>
    </row>
    <row r="61" spans="2:5" x14ac:dyDescent="0.25">
      <c r="B61" s="139" t="s">
        <v>154</v>
      </c>
      <c r="C61" t="s">
        <v>184</v>
      </c>
      <c r="D61" s="135">
        <f>C35</f>
        <v>61900</v>
      </c>
      <c r="E61" s="51"/>
    </row>
    <row r="62" spans="2:5" x14ac:dyDescent="0.25">
      <c r="B62" s="139"/>
      <c r="D62" s="138"/>
    </row>
    <row r="63" spans="2:5" x14ac:dyDescent="0.25">
      <c r="B63" s="139" t="s">
        <v>155</v>
      </c>
      <c r="C63" t="s">
        <v>185</v>
      </c>
      <c r="D63" s="135">
        <f>C36</f>
        <v>55300</v>
      </c>
    </row>
    <row r="64" spans="2:5" x14ac:dyDescent="0.25">
      <c r="B64" s="140"/>
      <c r="D64" s="138"/>
    </row>
    <row r="65" spans="2:4" x14ac:dyDescent="0.25">
      <c r="B65" s="139" t="s">
        <v>174</v>
      </c>
      <c r="C65" t="s">
        <v>157</v>
      </c>
      <c r="D65" s="135">
        <f>C37</f>
        <v>56100</v>
      </c>
    </row>
    <row r="66" spans="2:4" x14ac:dyDescent="0.25">
      <c r="B66" s="141"/>
      <c r="D66" s="138"/>
    </row>
    <row r="67" spans="2:4" ht="15.75" thickBot="1" x14ac:dyDescent="0.3">
      <c r="B67" s="142" t="s">
        <v>175</v>
      </c>
      <c r="C67" s="12" t="s">
        <v>158</v>
      </c>
      <c r="D67" s="143">
        <f>C38</f>
        <v>60900</v>
      </c>
    </row>
    <row r="68" spans="2:4" x14ac:dyDescent="0.25">
      <c r="B68" s="34"/>
      <c r="D68" s="92"/>
    </row>
    <row r="69" spans="2:4" x14ac:dyDescent="0.25">
      <c r="B69" s="34"/>
      <c r="D69" s="92"/>
    </row>
    <row r="70" spans="2:4" x14ac:dyDescent="0.25">
      <c r="B70" s="34"/>
      <c r="D70" s="92"/>
    </row>
    <row r="71" spans="2:4" x14ac:dyDescent="0.25">
      <c r="B71" s="34"/>
      <c r="D71" s="92"/>
    </row>
    <row r="72" spans="2:4" x14ac:dyDescent="0.25">
      <c r="B72" s="93"/>
      <c r="D72" s="92"/>
    </row>
    <row r="74" spans="2:4" x14ac:dyDescent="0.25">
      <c r="B74" s="34"/>
    </row>
    <row r="75" spans="2:4" x14ac:dyDescent="0.25">
      <c r="B75" s="34"/>
    </row>
    <row r="76" spans="2:4" x14ac:dyDescent="0.25">
      <c r="B76" s="34"/>
    </row>
    <row r="77" spans="2:4" x14ac:dyDescent="0.25">
      <c r="B77" s="34"/>
    </row>
    <row r="78" spans="2:4" x14ac:dyDescent="0.25">
      <c r="B78" s="34"/>
    </row>
    <row r="79" spans="2:4" x14ac:dyDescent="0.25">
      <c r="B79" s="34"/>
    </row>
  </sheetData>
  <mergeCells count="7">
    <mergeCell ref="B1:G1"/>
    <mergeCell ref="B53:D53"/>
    <mergeCell ref="B13:I13"/>
    <mergeCell ref="C28:C29"/>
    <mergeCell ref="B27:E27"/>
    <mergeCell ref="E28:F29"/>
    <mergeCell ref="B47:F47"/>
  </mergeCells>
  <phoneticPr fontId="24" type="noConversion"/>
  <dataValidations count="1">
    <dataValidation type="list" allowBlank="1" showInputMessage="1" showErrorMessage="1" sqref="H4 H8" xr:uid="{4A64255A-F0D6-48BD-97B1-74960CB59311}">
      <formula1>$K$3:$Q$3</formula1>
    </dataValidation>
  </dataValidations>
  <hyperlinks>
    <hyperlink ref="B45" r:id="rId1" display="DocumentFormat.OpenXml.Packaging.HyperlinkRelationship" xr:uid="{C681BFE6-24A2-41AA-8B06-E10148C13863}"/>
  </hyperlinks>
  <pageMargins left="0.7" right="0.7" top="0.75" bottom="0.75" header="0.3" footer="0.3"/>
  <pageSetup orientation="portrait" horizontalDpi="90" verticalDpi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Fee Table </vt:lpstr>
      <vt:lpstr>Rate Assumptions</vt:lpstr>
      <vt:lpstr>Rate Calculations</vt:lpstr>
      <vt:lpstr>Service Assumption</vt:lpstr>
      <vt:lpstr>Regionalized costs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caitss</dc:creator>
  <cp:keywords/>
  <dc:description/>
  <cp:lastModifiedBy>Sexton, David (DCYF)</cp:lastModifiedBy>
  <cp:revision/>
  <dcterms:created xsi:type="dcterms:W3CDTF">2022-08-15T18:05:56Z</dcterms:created>
  <dcterms:modified xsi:type="dcterms:W3CDTF">2024-03-21T14:06:45Z</dcterms:modified>
  <cp:category/>
  <cp:contentStatus/>
</cp:coreProperties>
</file>